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ristanschetters/Documents/"/>
    </mc:Choice>
  </mc:AlternateContent>
  <xr:revisionPtr revIDLastSave="0" documentId="13_ncr:1_{6666B066-8297-154A-BDA4-FA16C952CBFF}" xr6:coauthVersionLast="47" xr6:coauthVersionMax="47" xr10:uidLastSave="{00000000-0000-0000-0000-000000000000}"/>
  <bookViews>
    <workbookView xWindow="20" yWindow="500" windowWidth="43420" windowHeight="21980" xr2:uid="{77624F28-7224-5045-BC01-328D847D11E5}"/>
  </bookViews>
  <sheets>
    <sheet name="Berekensit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4" i="1" l="1"/>
  <c r="C25" i="1" l="1"/>
  <c r="E25" i="1" s="1"/>
  <c r="C38" i="1" l="1"/>
  <c r="E38" i="1" s="1"/>
  <c r="C44" i="1"/>
  <c r="E44" i="1" s="1"/>
  <c r="C43" i="1"/>
  <c r="E43" i="1" s="1"/>
  <c r="C42" i="1"/>
  <c r="E42" i="1" s="1"/>
  <c r="C41" i="1"/>
  <c r="E41" i="1" s="1"/>
  <c r="C40" i="1"/>
  <c r="E40" i="1" s="1"/>
  <c r="C39" i="1"/>
  <c r="E39" i="1" s="1"/>
  <c r="C37" i="1"/>
  <c r="E37" i="1" s="1"/>
  <c r="C36" i="1"/>
  <c r="E36" i="1" s="1"/>
  <c r="C35" i="1"/>
  <c r="E35" i="1" s="1"/>
  <c r="C34" i="1"/>
  <c r="E34" i="1" s="1"/>
  <c r="C33" i="1"/>
  <c r="E33" i="1" s="1"/>
  <c r="C32" i="1"/>
  <c r="E32" i="1" s="1"/>
  <c r="C31" i="1"/>
  <c r="E31" i="1" s="1"/>
  <c r="C30" i="1"/>
  <c r="E30" i="1" s="1"/>
  <c r="C29" i="1"/>
  <c r="E29" i="1" s="1"/>
  <c r="C28" i="1"/>
  <c r="E28" i="1" s="1"/>
  <c r="C27" i="1"/>
  <c r="C26" i="1"/>
  <c r="E26" i="1" l="1"/>
  <c r="E27" i="1"/>
  <c r="B18" i="1" l="1"/>
  <c r="F26" i="1" l="1"/>
  <c r="F25" i="1"/>
  <c r="F36" i="1"/>
  <c r="F42" i="1"/>
  <c r="F34" i="1"/>
  <c r="F38" i="1"/>
  <c r="F44" i="1"/>
  <c r="F39" i="1"/>
  <c r="F33" i="1"/>
  <c r="F41" i="1"/>
  <c r="F43" i="1"/>
  <c r="F35" i="1"/>
  <c r="F29" i="1"/>
  <c r="F31" i="1"/>
  <c r="F37" i="1"/>
  <c r="F30" i="1"/>
  <c r="F32" i="1"/>
  <c r="F40" i="1"/>
  <c r="F28" i="1"/>
  <c r="F27" i="1"/>
  <c r="C50" i="1" l="1"/>
  <c r="D51" i="1" s="1"/>
  <c r="H51" i="1" s="1"/>
  <c r="C52" i="1" s="1"/>
  <c r="G54" i="1" l="1"/>
  <c r="E53" i="1"/>
  <c r="G53" i="1"/>
  <c r="E52" i="1"/>
  <c r="G52" i="1"/>
  <c r="E54" i="1"/>
  <c r="D53" i="1"/>
  <c r="D54" i="1" l="1"/>
  <c r="H54" i="1" l="1"/>
  <c r="G56" i="1" l="1"/>
  <c r="E55" i="1"/>
  <c r="G55" i="1"/>
  <c r="E57" i="1"/>
  <c r="G57" i="1"/>
  <c r="E56" i="1"/>
  <c r="C55" i="1"/>
  <c r="D56" i="1"/>
  <c r="D57" i="1" l="1"/>
  <c r="H57" i="1" l="1"/>
  <c r="G58" i="1" l="1"/>
  <c r="E60" i="1"/>
  <c r="G60" i="1"/>
  <c r="E59" i="1"/>
  <c r="G59" i="1"/>
  <c r="E58" i="1"/>
  <c r="C58" i="1"/>
  <c r="D59" i="1"/>
  <c r="D60" i="1" l="1"/>
  <c r="H60" i="1" l="1"/>
  <c r="E63" i="1" l="1"/>
  <c r="G63" i="1"/>
  <c r="E62" i="1"/>
  <c r="G62" i="1"/>
  <c r="E61" i="1"/>
  <c r="G61" i="1"/>
  <c r="C61" i="1"/>
  <c r="D62" i="1"/>
  <c r="D63" i="1" l="1"/>
  <c r="H63" i="1" l="1"/>
  <c r="G66" i="1" l="1"/>
  <c r="E65" i="1"/>
  <c r="G65" i="1"/>
  <c r="E64" i="1"/>
  <c r="G64" i="1"/>
  <c r="E66" i="1"/>
  <c r="D65" i="1"/>
  <c r="C64" i="1"/>
  <c r="D66" i="1" l="1"/>
  <c r="H66" i="1" l="1"/>
  <c r="G69" i="1" l="1"/>
  <c r="E69" i="1"/>
  <c r="G68" i="1"/>
  <c r="E68" i="1"/>
  <c r="G67" i="1"/>
  <c r="E67" i="1"/>
  <c r="C67" i="1"/>
  <c r="D68" i="1"/>
  <c r="D69" i="1" l="1"/>
  <c r="H69" i="1" l="1"/>
  <c r="G70" i="1" l="1"/>
  <c r="E70" i="1"/>
  <c r="G72" i="1"/>
  <c r="E72" i="1"/>
  <c r="G71" i="1"/>
  <c r="E71" i="1"/>
  <c r="C70" i="1"/>
  <c r="D71" i="1"/>
  <c r="D72" i="1" l="1"/>
  <c r="H72" i="1" l="1"/>
  <c r="G74" i="1" l="1"/>
  <c r="E75" i="1"/>
  <c r="G73" i="1"/>
  <c r="E74" i="1"/>
  <c r="E73" i="1"/>
  <c r="G75" i="1"/>
  <c r="C73" i="1"/>
  <c r="D74" i="1"/>
  <c r="D75" i="1" l="1"/>
  <c r="H75" i="1" l="1"/>
  <c r="G78" i="1" l="1"/>
  <c r="G77" i="1"/>
  <c r="E78" i="1"/>
  <c r="G76" i="1"/>
  <c r="E77" i="1"/>
  <c r="E76" i="1"/>
  <c r="C76" i="1"/>
  <c r="D77" i="1"/>
  <c r="D78" i="1" l="1"/>
  <c r="H78" i="1" l="1"/>
  <c r="E79" i="1" l="1"/>
  <c r="G81" i="1"/>
  <c r="G80" i="1"/>
  <c r="E81" i="1"/>
  <c r="G79" i="1"/>
  <c r="E80" i="1"/>
  <c r="C79" i="1"/>
  <c r="D80" i="1"/>
  <c r="D81" i="1" l="1"/>
  <c r="H81" i="1" l="1"/>
  <c r="G82" i="1" l="1"/>
  <c r="E83" i="1"/>
  <c r="E82" i="1"/>
  <c r="G84" i="1"/>
  <c r="G83" i="1"/>
  <c r="E84" i="1"/>
  <c r="C82" i="1"/>
  <c r="D83" i="1"/>
  <c r="D84" i="1" l="1"/>
  <c r="H84" i="1" l="1"/>
  <c r="G86" i="1" l="1"/>
  <c r="E87" i="1"/>
  <c r="G85" i="1"/>
  <c r="E86" i="1"/>
  <c r="E85" i="1"/>
  <c r="G87" i="1"/>
  <c r="C85" i="1"/>
  <c r="D86" i="1"/>
  <c r="D87" i="1" l="1"/>
  <c r="H87" i="1" l="1"/>
  <c r="G90" i="1" l="1"/>
  <c r="G89" i="1"/>
  <c r="E90" i="1"/>
  <c r="G88" i="1"/>
  <c r="E89" i="1"/>
  <c r="E88" i="1"/>
  <c r="C88" i="1"/>
  <c r="D89" i="1"/>
  <c r="D90" i="1" l="1"/>
  <c r="H90" i="1" l="1"/>
  <c r="E91" i="1" l="1"/>
  <c r="G93" i="1"/>
  <c r="G92" i="1"/>
  <c r="E93" i="1"/>
  <c r="G91" i="1"/>
  <c r="E92" i="1"/>
  <c r="C91" i="1"/>
  <c r="D92" i="1"/>
  <c r="D93" i="1" l="1"/>
  <c r="H93" i="1" l="1"/>
  <c r="G94" i="1" l="1"/>
  <c r="E95" i="1"/>
  <c r="E94" i="1"/>
  <c r="G96" i="1"/>
  <c r="G95" i="1"/>
  <c r="E96" i="1"/>
  <c r="D95" i="1"/>
  <c r="C94" i="1"/>
  <c r="D96" i="1" l="1"/>
  <c r="H96" i="1" l="1"/>
  <c r="G98" i="1" l="1"/>
  <c r="E99" i="1"/>
  <c r="G97" i="1"/>
  <c r="E98" i="1"/>
  <c r="E97" i="1"/>
  <c r="G99" i="1"/>
  <c r="D98" i="1"/>
  <c r="C97" i="1"/>
  <c r="D99" i="1" l="1"/>
  <c r="H99" i="1" l="1"/>
  <c r="G102" i="1" l="1"/>
  <c r="G101" i="1"/>
  <c r="E102" i="1"/>
  <c r="G100" i="1"/>
  <c r="E101" i="1"/>
  <c r="E100" i="1"/>
  <c r="D101" i="1"/>
  <c r="C100" i="1"/>
  <c r="D102" i="1" l="1"/>
  <c r="H102" i="1" l="1"/>
  <c r="E103" i="1" l="1"/>
  <c r="G105" i="1"/>
  <c r="G104" i="1"/>
  <c r="E105" i="1"/>
  <c r="G103" i="1"/>
  <c r="E104" i="1"/>
  <c r="D104" i="1"/>
  <c r="C103" i="1"/>
  <c r="D105" i="1" l="1"/>
  <c r="H105" i="1" l="1"/>
  <c r="G106" i="1" l="1"/>
  <c r="E107" i="1"/>
  <c r="E106" i="1"/>
  <c r="G108" i="1"/>
  <c r="G107" i="1"/>
  <c r="E108" i="1"/>
  <c r="C106" i="1"/>
  <c r="D107" i="1"/>
  <c r="D108" i="1" l="1"/>
  <c r="H108" i="1" l="1"/>
  <c r="G110" i="1" l="1"/>
  <c r="E111" i="1"/>
  <c r="G109" i="1"/>
  <c r="E110" i="1"/>
  <c r="E109" i="1"/>
  <c r="G111" i="1"/>
  <c r="C109" i="1"/>
  <c r="D110" i="1"/>
  <c r="D111" i="1" l="1"/>
  <c r="H111" i="1" l="1"/>
</calcChain>
</file>

<file path=xl/sharedStrings.xml><?xml version="1.0" encoding="utf-8"?>
<sst xmlns="http://schemas.openxmlformats.org/spreadsheetml/2006/main" count="29" uniqueCount="26">
  <si>
    <t xml:space="preserve">Ondanks de betrachte zorgvuldigheid kan het voorkomen dat informatie is verouderd of onjuistheden bevat. </t>
  </si>
  <si>
    <t>De inhoud van dit document is met de grootste zorg samengesteld. Het is ons streven om zo actueel mogelijke informatie te geven.</t>
  </si>
  <si>
    <t>aan hoeft te passen.</t>
  </si>
  <si>
    <r>
      <rPr>
        <b/>
        <sz val="12"/>
        <color theme="1"/>
        <rFont val="Calibri"/>
        <family val="2"/>
        <scheme val="minor"/>
      </rPr>
      <t>Uitleg:</t>
    </r>
    <r>
      <rPr>
        <sz val="12"/>
        <color theme="1"/>
        <rFont val="Calibri"/>
        <family val="2"/>
        <scheme val="minor"/>
      </rPr>
      <t xml:space="preserve"> dit document is zo opgebouwd dat u enkel de geel gearceerde velden</t>
    </r>
  </si>
  <si>
    <t>Nominale waarde</t>
  </si>
  <si>
    <t>Transactiekosten</t>
  </si>
  <si>
    <t>Liquide middelen</t>
  </si>
  <si>
    <t>Looptijd in jaren (max 20)</t>
  </si>
  <si>
    <t>Couponrente</t>
  </si>
  <si>
    <t>Effectieve rente</t>
  </si>
  <si>
    <t>Jr</t>
  </si>
  <si>
    <t>Selectie</t>
  </si>
  <si>
    <t>Datum</t>
  </si>
  <si>
    <t>Bedrag</t>
  </si>
  <si>
    <t>Schuld</t>
  </si>
  <si>
    <t>Type</t>
  </si>
  <si>
    <t>Rekening</t>
  </si>
  <si>
    <t>B</t>
  </si>
  <si>
    <t>Debet</t>
  </si>
  <si>
    <t>Credit</t>
  </si>
  <si>
    <t>Geamortiseerde kostprijs - Schuld</t>
  </si>
  <si>
    <t>Periode</t>
  </si>
  <si>
    <t>Aantal obligaties / leningdelen</t>
  </si>
  <si>
    <t>U kunt ons daarop attenderen via contact@cnoop.nl. Aan de in dit document genoemde informatie kunt u geen rechten ontlenen.</t>
  </si>
  <si>
    <t>Journaalposten iunclusief amortisatie</t>
  </si>
  <si>
    <t>https://cnoop.nl/geamortiseerde-kostprijs/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</si>
</sst>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(&quot;€&quot;\ * #,##0_);_(&quot;€&quot;\ * \(#,##0\);_(&quot;€&quot;\ * &quot;-&quot;??_);_(@_)"/>
    <numFmt numFmtId="167" formatCode="0.0000%"/>
  </numFmts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rgb="FF3F485D"/>
      <name val="Open Sans"/>
    </font>
    <font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51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3" fillId="0" borderId="0" xfId="0" applyFont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3" fontId="0" fillId="2" borderId="0" xfId="0" applyNumberFormat="1" applyFill="1"/>
    <xf numFmtId="164" fontId="0" fillId="3" borderId="4" xfId="1" applyNumberFormat="1" applyFont="1" applyFill="1" applyBorder="1"/>
    <xf numFmtId="165" fontId="0" fillId="3" borderId="4" xfId="1" applyNumberFormat="1" applyFont="1" applyFill="1" applyBorder="1"/>
    <xf numFmtId="165" fontId="0" fillId="3" borderId="4" xfId="2" applyNumberFormat="1" applyFont="1" applyFill="1" applyBorder="1"/>
    <xf numFmtId="164" fontId="0" fillId="2" borderId="6" xfId="1" applyNumberFormat="1" applyFont="1" applyFill="1" applyBorder="1"/>
    <xf numFmtId="164" fontId="0" fillId="0" borderId="0" xfId="1" applyNumberFormat="1" applyFont="1" applyFill="1" applyBorder="1"/>
    <xf numFmtId="0" fontId="5" fillId="0" borderId="0" xfId="0" applyFont="1"/>
    <xf numFmtId="10" fontId="0" fillId="3" borderId="4" xfId="2" applyNumberFormat="1" applyFont="1" applyFill="1" applyBorder="1"/>
    <xf numFmtId="0" fontId="0" fillId="2" borderId="4" xfId="0" applyFill="1" applyBorder="1" applyAlignment="1">
      <alignment horizontal="center"/>
    </xf>
    <xf numFmtId="0" fontId="0" fillId="2" borderId="0" xfId="0" applyFill="1" applyAlignment="1">
      <alignment horizontal="center"/>
    </xf>
    <xf numFmtId="14" fontId="0" fillId="2" borderId="0" xfId="0" applyNumberFormat="1" applyFill="1" applyAlignment="1">
      <alignment horizontal="center"/>
    </xf>
    <xf numFmtId="43" fontId="0" fillId="2" borderId="0" xfId="1" applyFont="1" applyFill="1" applyBorder="1" applyAlignment="1">
      <alignment horizontal="center"/>
    </xf>
    <xf numFmtId="43" fontId="0" fillId="2" borderId="5" xfId="1" applyFont="1" applyFill="1" applyBorder="1"/>
    <xf numFmtId="164" fontId="0" fillId="2" borderId="4" xfId="1" applyNumberFormat="1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164" fontId="0" fillId="4" borderId="0" xfId="1" applyNumberFormat="1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164" fontId="0" fillId="4" borderId="5" xfId="1" applyNumberFormat="1" applyFont="1" applyFill="1" applyBorder="1" applyAlignment="1">
      <alignment horizontal="center"/>
    </xf>
    <xf numFmtId="0" fontId="0" fillId="2" borderId="4" xfId="1" applyNumberFormat="1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5" xfId="1" applyNumberFormat="1" applyFont="1" applyFill="1" applyBorder="1" applyAlignment="1">
      <alignment horizontal="center"/>
    </xf>
    <xf numFmtId="0" fontId="0" fillId="4" borderId="4" xfId="1" applyNumberFormat="1" applyFont="1" applyFill="1" applyBorder="1" applyAlignment="1">
      <alignment horizontal="center"/>
    </xf>
    <xf numFmtId="0" fontId="0" fillId="4" borderId="6" xfId="1" applyNumberFormat="1" applyFon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164" fontId="0" fillId="4" borderId="7" xfId="1" applyNumberFormat="1" applyFont="1" applyFill="1" applyBorder="1" applyAlignment="1">
      <alignment horizontal="center"/>
    </xf>
    <xf numFmtId="164" fontId="0" fillId="4" borderId="8" xfId="1" applyNumberFormat="1" applyFont="1" applyFill="1" applyBorder="1" applyAlignment="1">
      <alignment horizontal="center"/>
    </xf>
    <xf numFmtId="0" fontId="0" fillId="4" borderId="0" xfId="0" applyFill="1"/>
    <xf numFmtId="0" fontId="0" fillId="4" borderId="7" xfId="0" applyFill="1" applyBorder="1"/>
    <xf numFmtId="0" fontId="0" fillId="2" borderId="5" xfId="0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67" fontId="0" fillId="0" borderId="4" xfId="2" applyNumberFormat="1" applyFont="1" applyFill="1" applyBorder="1"/>
    <xf numFmtId="164" fontId="6" fillId="0" borderId="0" xfId="3" applyNumberFormat="1" applyFill="1" applyBorder="1"/>
  </cellXfs>
  <cellStyles count="4">
    <cellStyle name="Hyperlink" xfId="3" builtinId="8"/>
    <cellStyle name="Komma" xfId="1" builtinId="3"/>
    <cellStyle name="Procent" xfId="2" builtinId="5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cnoop.nl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840620</xdr:colOff>
      <xdr:row>1</xdr:row>
      <xdr:rowOff>199571</xdr:rowOff>
    </xdr:from>
    <xdr:to>
      <xdr:col>4</xdr:col>
      <xdr:colOff>268968</xdr:colOff>
      <xdr:row>4</xdr:row>
      <xdr:rowOff>169333</xdr:rowOff>
    </xdr:to>
    <xdr:pic>
      <xdr:nvPicPr>
        <xdr:cNvPr id="11" name="Afbeelding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3AB615-88FC-F10B-055A-63853C2B6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48858" y="405190"/>
          <a:ext cx="1363586" cy="586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cnoop.nl/geamortiseerde-kostprij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C6CC1-ABA5-204B-AB96-B003FF666CEE}">
  <dimension ref="B2:O117"/>
  <sheetViews>
    <sheetView tabSelected="1" zoomScale="130" zoomScaleNormal="130" workbookViewId="0">
      <selection activeCell="L31" sqref="L31"/>
    </sheetView>
  </sheetViews>
  <sheetFormatPr baseColWidth="10" defaultRowHeight="16" x14ac:dyDescent="0.2"/>
  <cols>
    <col min="1" max="1" width="11" customWidth="1"/>
    <col min="2" max="4" width="12.6640625" customWidth="1"/>
    <col min="5" max="5" width="14.83203125" customWidth="1"/>
    <col min="6" max="6" width="12.6640625" customWidth="1"/>
    <col min="7" max="8" width="11" customWidth="1"/>
    <col min="9" max="9" width="15.33203125" customWidth="1"/>
    <col min="15" max="15" width="41.1640625" customWidth="1"/>
  </cols>
  <sheetData>
    <row r="2" spans="2:15" x14ac:dyDescent="0.2">
      <c r="B2" s="1"/>
      <c r="C2" s="2"/>
      <c r="D2" s="2"/>
      <c r="E2" s="2"/>
      <c r="F2" s="3"/>
      <c r="H2" s="1"/>
      <c r="I2" s="2"/>
      <c r="J2" s="2"/>
      <c r="K2" s="2"/>
      <c r="L2" s="2"/>
      <c r="M2" s="2"/>
      <c r="N2" s="2"/>
      <c r="O2" s="3"/>
    </row>
    <row r="3" spans="2:15" x14ac:dyDescent="0.2">
      <c r="B3" s="4"/>
      <c r="C3" s="5"/>
      <c r="E3" s="5"/>
      <c r="F3" s="6"/>
      <c r="H3" s="4"/>
      <c r="I3" s="5" t="s">
        <v>1</v>
      </c>
      <c r="J3" s="5"/>
      <c r="K3" s="5"/>
      <c r="L3" s="5"/>
      <c r="M3" s="5"/>
      <c r="N3" s="5"/>
      <c r="O3" s="6"/>
    </row>
    <row r="4" spans="2:15" x14ac:dyDescent="0.2">
      <c r="B4" s="4"/>
      <c r="C4" s="5"/>
      <c r="D4" s="5"/>
      <c r="E4" s="5"/>
      <c r="F4" s="6"/>
      <c r="H4" s="4"/>
      <c r="I4" s="5" t="s">
        <v>0</v>
      </c>
      <c r="J4" s="5"/>
      <c r="K4" s="5"/>
      <c r="L4" s="5"/>
      <c r="M4" s="5"/>
      <c r="N4" s="5"/>
      <c r="O4" s="6"/>
    </row>
    <row r="5" spans="2:15" x14ac:dyDescent="0.2">
      <c r="B5" s="4"/>
      <c r="C5" s="5"/>
      <c r="D5" s="5"/>
      <c r="F5" s="6"/>
      <c r="H5" s="4"/>
      <c r="I5" s="5" t="s">
        <v>23</v>
      </c>
      <c r="J5" s="5"/>
      <c r="K5" s="5"/>
      <c r="L5" s="5"/>
      <c r="M5" s="5"/>
      <c r="N5" s="5"/>
      <c r="O5" s="6"/>
    </row>
    <row r="6" spans="2:15" x14ac:dyDescent="0.2">
      <c r="B6" s="7"/>
      <c r="C6" s="8"/>
      <c r="D6" s="8"/>
      <c r="E6" s="8"/>
      <c r="F6" s="9"/>
      <c r="H6" s="7"/>
      <c r="I6" s="8"/>
      <c r="J6" s="8"/>
      <c r="K6" s="8"/>
      <c r="L6" s="8"/>
      <c r="M6" s="8"/>
      <c r="N6" s="8"/>
      <c r="O6" s="9"/>
    </row>
    <row r="8" spans="2:15" x14ac:dyDescent="0.2">
      <c r="B8" s="11" t="s">
        <v>3</v>
      </c>
      <c r="C8" s="12"/>
      <c r="D8" s="12"/>
      <c r="E8" s="12"/>
      <c r="F8" s="13"/>
    </row>
    <row r="9" spans="2:15" x14ac:dyDescent="0.2">
      <c r="B9" s="14" t="s">
        <v>2</v>
      </c>
      <c r="C9" s="15"/>
      <c r="D9" s="15"/>
      <c r="E9" s="15"/>
      <c r="F9" s="16"/>
    </row>
    <row r="11" spans="2:15" s="10" customFormat="1" ht="26" x14ac:dyDescent="0.3">
      <c r="B11" s="46" t="s">
        <v>20</v>
      </c>
      <c r="C11" s="47"/>
      <c r="D11" s="47"/>
      <c r="E11" s="47"/>
      <c r="F11" s="48"/>
    </row>
    <row r="12" spans="2:15" ht="20" x14ac:dyDescent="0.25">
      <c r="B12" s="4"/>
      <c r="C12" s="5"/>
      <c r="D12" s="5"/>
      <c r="E12" s="5"/>
      <c r="F12" s="6"/>
      <c r="H12" s="23"/>
    </row>
    <row r="13" spans="2:15" x14ac:dyDescent="0.2">
      <c r="B13" s="18">
        <v>1</v>
      </c>
      <c r="C13" s="5" t="s">
        <v>22</v>
      </c>
      <c r="D13" s="5"/>
      <c r="E13" s="17"/>
      <c r="F13" s="6"/>
    </row>
    <row r="14" spans="2:15" x14ac:dyDescent="0.2">
      <c r="B14" s="19">
        <v>1000000</v>
      </c>
      <c r="C14" s="5" t="s">
        <v>4</v>
      </c>
      <c r="D14" s="5"/>
      <c r="E14" s="5"/>
      <c r="F14" s="6"/>
    </row>
    <row r="15" spans="2:15" x14ac:dyDescent="0.2">
      <c r="B15" s="20">
        <v>10000</v>
      </c>
      <c r="C15" s="5" t="s">
        <v>5</v>
      </c>
      <c r="D15" s="5"/>
      <c r="E15" s="5"/>
      <c r="F15" s="6"/>
    </row>
    <row r="16" spans="2:15" x14ac:dyDescent="0.2">
      <c r="B16" s="18">
        <v>3</v>
      </c>
      <c r="C16" s="5" t="s">
        <v>7</v>
      </c>
      <c r="D16" s="5"/>
      <c r="E16" s="5"/>
      <c r="F16" s="6"/>
    </row>
    <row r="17" spans="2:6" x14ac:dyDescent="0.2">
      <c r="B17" s="24">
        <v>0.08</v>
      </c>
      <c r="C17" s="5" t="s">
        <v>8</v>
      </c>
      <c r="D17" s="5"/>
      <c r="E17" s="5"/>
      <c r="F17" s="6"/>
    </row>
    <row r="18" spans="2:6" x14ac:dyDescent="0.2">
      <c r="B18" s="49">
        <f>XIRR(E24:E44,D24:D44)</f>
        <v>8.3993819355964658E-2</v>
      </c>
      <c r="C18" s="5" t="s">
        <v>9</v>
      </c>
      <c r="D18" s="5"/>
      <c r="E18" s="5"/>
      <c r="F18" s="6"/>
    </row>
    <row r="19" spans="2:6" x14ac:dyDescent="0.2">
      <c r="B19" s="21"/>
      <c r="C19" s="8"/>
      <c r="D19" s="8"/>
      <c r="E19" s="8"/>
      <c r="F19" s="9"/>
    </row>
    <row r="20" spans="2:6" x14ac:dyDescent="0.2">
      <c r="B20" s="22"/>
    </row>
    <row r="21" spans="2:6" ht="26" x14ac:dyDescent="0.3">
      <c r="B21" s="46" t="s">
        <v>9</v>
      </c>
      <c r="C21" s="47"/>
      <c r="D21" s="47"/>
      <c r="E21" s="47"/>
      <c r="F21" s="48"/>
    </row>
    <row r="22" spans="2:6" x14ac:dyDescent="0.2">
      <c r="B22" s="4"/>
      <c r="C22" s="5"/>
      <c r="D22" s="5"/>
      <c r="E22" s="5"/>
      <c r="F22" s="6"/>
    </row>
    <row r="23" spans="2:6" x14ac:dyDescent="0.2">
      <c r="B23" s="25" t="s">
        <v>10</v>
      </c>
      <c r="C23" s="26" t="s">
        <v>11</v>
      </c>
      <c r="D23" s="26" t="s">
        <v>12</v>
      </c>
      <c r="E23" s="26" t="s">
        <v>13</v>
      </c>
      <c r="F23" s="6"/>
    </row>
    <row r="24" spans="2:6" x14ac:dyDescent="0.2">
      <c r="B24" s="25">
        <v>0</v>
      </c>
      <c r="C24" s="26"/>
      <c r="D24" s="27">
        <v>44197</v>
      </c>
      <c r="E24" s="28">
        <f>-1*(B13*B14-B15)</f>
        <v>-990000</v>
      </c>
      <c r="F24" s="29"/>
    </row>
    <row r="25" spans="2:6" x14ac:dyDescent="0.2">
      <c r="B25" s="25">
        <v>1</v>
      </c>
      <c r="C25" s="26">
        <f>IF(B16&gt;=1,1,0)</f>
        <v>1</v>
      </c>
      <c r="D25" s="27">
        <v>44561</v>
      </c>
      <c r="E25" s="28">
        <f>IF(C25&gt;0,(($B$13*$B$14)*$B$17),0)+IF(C25=$B$16,$B$13*$B$14,0)</f>
        <v>80000</v>
      </c>
      <c r="F25" s="29">
        <f>E25/(1+$B$18)^B25</f>
        <v>73801.158799531302</v>
      </c>
    </row>
    <row r="26" spans="2:6" x14ac:dyDescent="0.2">
      <c r="B26" s="25">
        <v>2</v>
      </c>
      <c r="C26" s="26">
        <f>IF(B16&gt;=2,2,0)</f>
        <v>2</v>
      </c>
      <c r="D26" s="27">
        <v>44926</v>
      </c>
      <c r="E26" s="28">
        <f t="shared" ref="E26:E44" si="0">IF(C26&gt;0,(($B$13*$B$14)*$B$17),0)+IF(C26=$B$16,$B$13*$B$14,0)</f>
        <v>80000</v>
      </c>
      <c r="F26" s="29">
        <f t="shared" ref="F26:F44" si="1">E26/(1+$B$18)^B26</f>
        <v>68082.638001920466</v>
      </c>
    </row>
    <row r="27" spans="2:6" x14ac:dyDescent="0.2">
      <c r="B27" s="25">
        <v>3</v>
      </c>
      <c r="C27" s="26">
        <f>IF(B16&gt;=3,3,0)</f>
        <v>3</v>
      </c>
      <c r="D27" s="27">
        <v>45291</v>
      </c>
      <c r="E27" s="28">
        <f t="shared" si="0"/>
        <v>1080000</v>
      </c>
      <c r="F27" s="29">
        <f t="shared" si="1"/>
        <v>847897.46640068688</v>
      </c>
    </row>
    <row r="28" spans="2:6" x14ac:dyDescent="0.2">
      <c r="B28" s="25">
        <v>4</v>
      </c>
      <c r="C28" s="26">
        <f>IF(B16&gt;=4,4,0)</f>
        <v>0</v>
      </c>
      <c r="D28" s="27">
        <v>45657</v>
      </c>
      <c r="E28" s="28">
        <f t="shared" si="0"/>
        <v>0</v>
      </c>
      <c r="F28" s="29">
        <f t="shared" si="1"/>
        <v>0</v>
      </c>
    </row>
    <row r="29" spans="2:6" x14ac:dyDescent="0.2">
      <c r="B29" s="25">
        <v>5</v>
      </c>
      <c r="C29" s="26">
        <f>IF(B16&gt;=5,5,0)</f>
        <v>0</v>
      </c>
      <c r="D29" s="27">
        <v>46022</v>
      </c>
      <c r="E29" s="28">
        <f t="shared" si="0"/>
        <v>0</v>
      </c>
      <c r="F29" s="29">
        <f t="shared" si="1"/>
        <v>0</v>
      </c>
    </row>
    <row r="30" spans="2:6" x14ac:dyDescent="0.2">
      <c r="B30" s="25">
        <v>6</v>
      </c>
      <c r="C30" s="26">
        <f>IF(B16&gt;=6,6,0)</f>
        <v>0</v>
      </c>
      <c r="D30" s="27">
        <v>46387</v>
      </c>
      <c r="E30" s="28">
        <f t="shared" si="0"/>
        <v>0</v>
      </c>
      <c r="F30" s="29">
        <f t="shared" si="1"/>
        <v>0</v>
      </c>
    </row>
    <row r="31" spans="2:6" x14ac:dyDescent="0.2">
      <c r="B31" s="25">
        <v>7</v>
      </c>
      <c r="C31" s="26">
        <f>IF(B16&gt;=7,7,0)</f>
        <v>0</v>
      </c>
      <c r="D31" s="27">
        <v>46752</v>
      </c>
      <c r="E31" s="28">
        <f t="shared" si="0"/>
        <v>0</v>
      </c>
      <c r="F31" s="29">
        <f t="shared" si="1"/>
        <v>0</v>
      </c>
    </row>
    <row r="32" spans="2:6" x14ac:dyDescent="0.2">
      <c r="B32" s="25">
        <v>8</v>
      </c>
      <c r="C32" s="26">
        <f>IF(B16&gt;=8,8,0)</f>
        <v>0</v>
      </c>
      <c r="D32" s="27">
        <v>47118</v>
      </c>
      <c r="E32" s="28">
        <f t="shared" si="0"/>
        <v>0</v>
      </c>
      <c r="F32" s="29">
        <f t="shared" si="1"/>
        <v>0</v>
      </c>
    </row>
    <row r="33" spans="2:8" x14ac:dyDescent="0.2">
      <c r="B33" s="25">
        <v>9</v>
      </c>
      <c r="C33" s="26">
        <f>IF(B16&gt;=9,9,0)</f>
        <v>0</v>
      </c>
      <c r="D33" s="27">
        <v>47483</v>
      </c>
      <c r="E33" s="28">
        <f t="shared" si="0"/>
        <v>0</v>
      </c>
      <c r="F33" s="29">
        <f t="shared" si="1"/>
        <v>0</v>
      </c>
    </row>
    <row r="34" spans="2:8" x14ac:dyDescent="0.2">
      <c r="B34" s="25">
        <v>10</v>
      </c>
      <c r="C34" s="26">
        <f>IF(B16&gt;=10,10,0)</f>
        <v>0</v>
      </c>
      <c r="D34" s="27">
        <v>47848</v>
      </c>
      <c r="E34" s="28">
        <f t="shared" si="0"/>
        <v>0</v>
      </c>
      <c r="F34" s="29">
        <f t="shared" si="1"/>
        <v>0</v>
      </c>
    </row>
    <row r="35" spans="2:8" x14ac:dyDescent="0.2">
      <c r="B35" s="25">
        <v>11</v>
      </c>
      <c r="C35" s="26">
        <f>IF(B16&gt;=11,11,0)</f>
        <v>0</v>
      </c>
      <c r="D35" s="27">
        <v>48213</v>
      </c>
      <c r="E35" s="28">
        <f t="shared" si="0"/>
        <v>0</v>
      </c>
      <c r="F35" s="29">
        <f t="shared" si="1"/>
        <v>0</v>
      </c>
    </row>
    <row r="36" spans="2:8" x14ac:dyDescent="0.2">
      <c r="B36" s="25">
        <v>12</v>
      </c>
      <c r="C36" s="26">
        <f>IF(B16&gt;=12,12,0)</f>
        <v>0</v>
      </c>
      <c r="D36" s="27">
        <v>48579</v>
      </c>
      <c r="E36" s="28">
        <f t="shared" si="0"/>
        <v>0</v>
      </c>
      <c r="F36" s="29">
        <f t="shared" si="1"/>
        <v>0</v>
      </c>
    </row>
    <row r="37" spans="2:8" x14ac:dyDescent="0.2">
      <c r="B37" s="25">
        <v>13</v>
      </c>
      <c r="C37" s="26">
        <f>IF(B16&gt;=13,13,0)</f>
        <v>0</v>
      </c>
      <c r="D37" s="27">
        <v>48944</v>
      </c>
      <c r="E37" s="28">
        <f t="shared" si="0"/>
        <v>0</v>
      </c>
      <c r="F37" s="29">
        <f t="shared" si="1"/>
        <v>0</v>
      </c>
    </row>
    <row r="38" spans="2:8" x14ac:dyDescent="0.2">
      <c r="B38" s="25">
        <v>14</v>
      </c>
      <c r="C38" s="26">
        <f>IF(B16&gt;=14,14,0)</f>
        <v>0</v>
      </c>
      <c r="D38" s="27">
        <v>49309</v>
      </c>
      <c r="E38" s="28">
        <f t="shared" si="0"/>
        <v>0</v>
      </c>
      <c r="F38" s="29">
        <f t="shared" si="1"/>
        <v>0</v>
      </c>
    </row>
    <row r="39" spans="2:8" x14ac:dyDescent="0.2">
      <c r="B39" s="25">
        <v>15</v>
      </c>
      <c r="C39" s="26">
        <f>IF(B16&gt;=15,15,0)</f>
        <v>0</v>
      </c>
      <c r="D39" s="27">
        <v>49674</v>
      </c>
      <c r="E39" s="28">
        <f t="shared" si="0"/>
        <v>0</v>
      </c>
      <c r="F39" s="29">
        <f t="shared" si="1"/>
        <v>0</v>
      </c>
    </row>
    <row r="40" spans="2:8" x14ac:dyDescent="0.2">
      <c r="B40" s="25">
        <v>16</v>
      </c>
      <c r="C40" s="26">
        <f>IF(B16&gt;=16,16,0)</f>
        <v>0</v>
      </c>
      <c r="D40" s="27">
        <v>50040</v>
      </c>
      <c r="E40" s="28">
        <f t="shared" si="0"/>
        <v>0</v>
      </c>
      <c r="F40" s="29">
        <f t="shared" si="1"/>
        <v>0</v>
      </c>
    </row>
    <row r="41" spans="2:8" x14ac:dyDescent="0.2">
      <c r="B41" s="25">
        <v>17</v>
      </c>
      <c r="C41" s="26">
        <f>IF(B16&gt;=17,17,0)</f>
        <v>0</v>
      </c>
      <c r="D41" s="27">
        <v>50405</v>
      </c>
      <c r="E41" s="28">
        <f t="shared" si="0"/>
        <v>0</v>
      </c>
      <c r="F41" s="29">
        <f t="shared" si="1"/>
        <v>0</v>
      </c>
    </row>
    <row r="42" spans="2:8" x14ac:dyDescent="0.2">
      <c r="B42" s="25">
        <v>18</v>
      </c>
      <c r="C42" s="26">
        <f>IF(B16&gt;=18,18,0)</f>
        <v>0</v>
      </c>
      <c r="D42" s="27">
        <v>50770</v>
      </c>
      <c r="E42" s="28">
        <f t="shared" si="0"/>
        <v>0</v>
      </c>
      <c r="F42" s="29">
        <f t="shared" si="1"/>
        <v>0</v>
      </c>
    </row>
    <row r="43" spans="2:8" x14ac:dyDescent="0.2">
      <c r="B43" s="25">
        <v>19</v>
      </c>
      <c r="C43" s="26">
        <f>IF(B16&gt;=19,19,0)</f>
        <v>0</v>
      </c>
      <c r="D43" s="27">
        <v>51135</v>
      </c>
      <c r="E43" s="28">
        <f t="shared" si="0"/>
        <v>0</v>
      </c>
      <c r="F43" s="29">
        <f t="shared" si="1"/>
        <v>0</v>
      </c>
    </row>
    <row r="44" spans="2:8" x14ac:dyDescent="0.2">
      <c r="B44" s="25">
        <v>20</v>
      </c>
      <c r="C44" s="26">
        <f>IF(B16&gt;=20,20,0)</f>
        <v>0</v>
      </c>
      <c r="D44" s="27">
        <v>51501</v>
      </c>
      <c r="E44" s="28">
        <f t="shared" si="0"/>
        <v>0</v>
      </c>
      <c r="F44" s="29">
        <f t="shared" si="1"/>
        <v>0</v>
      </c>
    </row>
    <row r="45" spans="2:8" x14ac:dyDescent="0.2">
      <c r="B45" s="21"/>
      <c r="C45" s="8"/>
      <c r="D45" s="8"/>
      <c r="E45" s="8"/>
      <c r="F45" s="9"/>
    </row>
    <row r="46" spans="2:8" x14ac:dyDescent="0.2">
      <c r="B46" s="22"/>
    </row>
    <row r="47" spans="2:8" ht="26" x14ac:dyDescent="0.3">
      <c r="B47" s="46" t="s">
        <v>24</v>
      </c>
      <c r="C47" s="47"/>
      <c r="D47" s="47"/>
      <c r="E47" s="47"/>
      <c r="F47" s="47"/>
      <c r="G47" s="47"/>
      <c r="H47" s="48"/>
    </row>
    <row r="48" spans="2:8" x14ac:dyDescent="0.2">
      <c r="B48" s="4"/>
      <c r="C48" s="5"/>
      <c r="D48" s="5"/>
      <c r="E48" s="5"/>
      <c r="F48" s="5"/>
      <c r="G48" s="5"/>
      <c r="H48" s="6"/>
    </row>
    <row r="49" spans="2:8" ht="16" customHeight="1" x14ac:dyDescent="0.2">
      <c r="B49" s="30" t="s">
        <v>21</v>
      </c>
      <c r="C49" s="26" t="s">
        <v>18</v>
      </c>
      <c r="D49" s="26" t="s">
        <v>19</v>
      </c>
      <c r="E49" s="26" t="s">
        <v>16</v>
      </c>
      <c r="F49" s="26"/>
      <c r="G49" s="26" t="s">
        <v>15</v>
      </c>
      <c r="H49" s="45" t="s">
        <v>14</v>
      </c>
    </row>
    <row r="50" spans="2:8" ht="16" customHeight="1" x14ac:dyDescent="0.2">
      <c r="B50" s="31">
        <v>0</v>
      </c>
      <c r="C50" s="32">
        <f>SUM(F25:F44)</f>
        <v>989781.26320213871</v>
      </c>
      <c r="D50" s="32"/>
      <c r="E50" s="33" t="s">
        <v>6</v>
      </c>
      <c r="F50" s="43"/>
      <c r="G50" s="33" t="s">
        <v>17</v>
      </c>
      <c r="H50" s="34"/>
    </row>
    <row r="51" spans="2:8" ht="16" customHeight="1" x14ac:dyDescent="0.2">
      <c r="B51" s="31">
        <v>0</v>
      </c>
      <c r="C51" s="32"/>
      <c r="D51" s="32">
        <f>C50</f>
        <v>989781.26320213871</v>
      </c>
      <c r="E51" s="33" t="s">
        <v>14</v>
      </c>
      <c r="F51" s="43"/>
      <c r="G51" s="33" t="s">
        <v>17</v>
      </c>
      <c r="H51" s="34">
        <f>D51</f>
        <v>989781.26320213871</v>
      </c>
    </row>
    <row r="52" spans="2:8" ht="16" customHeight="1" x14ac:dyDescent="0.2">
      <c r="B52" s="35">
        <v>1</v>
      </c>
      <c r="C52" s="36">
        <f>IF(H51&gt;=($B$13*$B$14),,H51*$B$18)</f>
        <v>83135.50862331895</v>
      </c>
      <c r="D52" s="36"/>
      <c r="E52" s="26" t="str">
        <f>IF(H51&gt;=($B$13*$B$14),"-","Rentekosten")</f>
        <v>Rentekosten</v>
      </c>
      <c r="F52" s="5"/>
      <c r="G52" s="26" t="str">
        <f>IF(H51&gt;=($B$13*$B$14),"-","W&amp;V")</f>
        <v>W&amp;V</v>
      </c>
      <c r="H52" s="37"/>
    </row>
    <row r="53" spans="2:8" ht="16" customHeight="1" x14ac:dyDescent="0.2">
      <c r="B53" s="35">
        <v>1</v>
      </c>
      <c r="C53" s="36"/>
      <c r="D53" s="36">
        <f>IF(H51&gt;=($B$13*$B$14),,($B$13*$B$14)*$B$17)</f>
        <v>80000</v>
      </c>
      <c r="E53" s="26" t="str">
        <f>IF(H51&gt;=($B$13*$B$14),"-","Bank")</f>
        <v>Bank</v>
      </c>
      <c r="F53" s="5"/>
      <c r="G53" s="26" t="str">
        <f>IF(H51&gt;=($B$13*$B$14),"-","B")</f>
        <v>B</v>
      </c>
      <c r="H53" s="37"/>
    </row>
    <row r="54" spans="2:8" ht="16" customHeight="1" x14ac:dyDescent="0.2">
      <c r="B54" s="35">
        <v>1</v>
      </c>
      <c r="C54" s="36"/>
      <c r="D54" s="36">
        <f>C52-D53</f>
        <v>3135.5086233189504</v>
      </c>
      <c r="E54" s="26" t="str">
        <f>IF(H51&gt;=($B$13*$B$14),"-","Schuld")</f>
        <v>Schuld</v>
      </c>
      <c r="F54" s="5"/>
      <c r="G54" s="26" t="str">
        <f>IF(H51&gt;=($B$13*$B$14),"-","B")</f>
        <v>B</v>
      </c>
      <c r="H54" s="37">
        <f>H51+D54</f>
        <v>992916.77182545769</v>
      </c>
    </row>
    <row r="55" spans="2:8" ht="16" customHeight="1" x14ac:dyDescent="0.2">
      <c r="B55" s="38">
        <v>2</v>
      </c>
      <c r="C55" s="32">
        <f>IF(H54&gt;=($B$13*$B$14),,H54*$B$18)</f>
        <v>83398.87196821507</v>
      </c>
      <c r="D55" s="32"/>
      <c r="E55" s="33" t="str">
        <f>IF(H54&gt;=($B$13*$B$14),"-","Rentekosten")</f>
        <v>Rentekosten</v>
      </c>
      <c r="F55" s="43"/>
      <c r="G55" s="33" t="str">
        <f>IF(H54&gt;=($B$13*$B$14),"-","W&amp;V")</f>
        <v>W&amp;V</v>
      </c>
      <c r="H55" s="34"/>
    </row>
    <row r="56" spans="2:8" ht="16" customHeight="1" x14ac:dyDescent="0.2">
      <c r="B56" s="38">
        <v>2</v>
      </c>
      <c r="C56" s="32"/>
      <c r="D56" s="32">
        <f>IF(H54&gt;=($B$13*$B$14),,($B$13*$B$14)*$B$17)</f>
        <v>80000</v>
      </c>
      <c r="E56" s="33" t="str">
        <f>IF(H54&gt;=($B$13*$B$14),"-","Bank")</f>
        <v>Bank</v>
      </c>
      <c r="F56" s="43"/>
      <c r="G56" s="33" t="str">
        <f>IF(H54&gt;=($B$13*$B$14),"-","B")</f>
        <v>B</v>
      </c>
      <c r="H56" s="34"/>
    </row>
    <row r="57" spans="2:8" ht="16" customHeight="1" x14ac:dyDescent="0.2">
      <c r="B57" s="38">
        <v>2</v>
      </c>
      <c r="C57" s="32"/>
      <c r="D57" s="32">
        <f>C55-D56</f>
        <v>3398.8719682150695</v>
      </c>
      <c r="E57" s="33" t="str">
        <f>IF(H54&gt;=($B$13*$B$14),"-","Schuld")</f>
        <v>Schuld</v>
      </c>
      <c r="F57" s="43"/>
      <c r="G57" s="33" t="str">
        <f>IF(H54&gt;=($B$13*$B$14),"-","B")</f>
        <v>B</v>
      </c>
      <c r="H57" s="34">
        <f>H54+D57</f>
        <v>996315.64379367279</v>
      </c>
    </row>
    <row r="58" spans="2:8" ht="16" customHeight="1" x14ac:dyDescent="0.2">
      <c r="B58" s="35">
        <v>3</v>
      </c>
      <c r="C58" s="36">
        <f>IF(H57&gt;=($B$13*$B$14),,H57*$B$18)</f>
        <v>83684.356206327386</v>
      </c>
      <c r="D58" s="36"/>
      <c r="E58" s="26" t="str">
        <f>IF(H57&gt;=($B$13*$B$14),"-","Rentekosten")</f>
        <v>Rentekosten</v>
      </c>
      <c r="F58" s="5"/>
      <c r="G58" s="26" t="str">
        <f>IF(H57&gt;=($B$13*$B$14),"-","W&amp;V")</f>
        <v>W&amp;V</v>
      </c>
      <c r="H58" s="37"/>
    </row>
    <row r="59" spans="2:8" ht="16" customHeight="1" x14ac:dyDescent="0.2">
      <c r="B59" s="35">
        <v>3</v>
      </c>
      <c r="C59" s="36"/>
      <c r="D59" s="36">
        <f>IF(H57&gt;=($B$13*$B$14),,($B$13*$B$14)*$B$17)</f>
        <v>80000</v>
      </c>
      <c r="E59" s="26" t="str">
        <f>IF(H57&gt;=($B$13*$B$14),"-","Bank")</f>
        <v>Bank</v>
      </c>
      <c r="F59" s="5"/>
      <c r="G59" s="26" t="str">
        <f>IF(H57&gt;=($B$13*$B$14),"-","B")</f>
        <v>B</v>
      </c>
      <c r="H59" s="37"/>
    </row>
    <row r="60" spans="2:8" ht="16" customHeight="1" x14ac:dyDescent="0.2">
      <c r="B60" s="35">
        <v>3</v>
      </c>
      <c r="C60" s="36"/>
      <c r="D60" s="36">
        <f>C58-D59</f>
        <v>3684.3562063273857</v>
      </c>
      <c r="E60" s="26" t="str">
        <f>IF(H57&gt;=($B$13*$B$14),"-","Schuld")</f>
        <v>Schuld</v>
      </c>
      <c r="F60" s="5"/>
      <c r="G60" s="26" t="str">
        <f>IF(H57&gt;=($B$13*$B$14),"-","B")</f>
        <v>B</v>
      </c>
      <c r="H60" s="37">
        <f>H57+D60</f>
        <v>1000000.0000000002</v>
      </c>
    </row>
    <row r="61" spans="2:8" ht="16" customHeight="1" x14ac:dyDescent="0.2">
      <c r="B61" s="38">
        <v>4</v>
      </c>
      <c r="C61" s="32">
        <f>IF(H60&gt;=($B$13*$B$14),,H60*$B$18)</f>
        <v>0</v>
      </c>
      <c r="D61" s="33"/>
      <c r="E61" s="33" t="str">
        <f>IF(H60&gt;=($B$13*$B$14),"-","Rentekosten")</f>
        <v>-</v>
      </c>
      <c r="F61" s="43"/>
      <c r="G61" s="33" t="str">
        <f>IF(H60&gt;=($B$13*$B$14),"-","W&amp;V")</f>
        <v>-</v>
      </c>
      <c r="H61" s="34"/>
    </row>
    <row r="62" spans="2:8" ht="16" customHeight="1" x14ac:dyDescent="0.2">
      <c r="B62" s="38">
        <v>4</v>
      </c>
      <c r="C62" s="33"/>
      <c r="D62" s="32">
        <f>IF(H60&gt;=($B$13*$B$14),,($B$13*$B$14)*$B$17)</f>
        <v>0</v>
      </c>
      <c r="E62" s="33" t="str">
        <f>IF(H60&gt;=($B$13*$B$14),"-","Bank")</f>
        <v>-</v>
      </c>
      <c r="F62" s="43"/>
      <c r="G62" s="33" t="str">
        <f>IF(H60&gt;=($B$13*$B$14),"-","B")</f>
        <v>-</v>
      </c>
      <c r="H62" s="34"/>
    </row>
    <row r="63" spans="2:8" ht="16" customHeight="1" x14ac:dyDescent="0.2">
      <c r="B63" s="38">
        <v>4</v>
      </c>
      <c r="C63" s="33"/>
      <c r="D63" s="32">
        <f>C61-D62</f>
        <v>0</v>
      </c>
      <c r="E63" s="33" t="str">
        <f>IF(H60&gt;=($B$13*$B$14),"-","Schuld")</f>
        <v>-</v>
      </c>
      <c r="F63" s="43"/>
      <c r="G63" s="33" t="str">
        <f>IF(H60&gt;=($B$13*$B$14),"-","B")</f>
        <v>-</v>
      </c>
      <c r="H63" s="34">
        <f>H60+D63</f>
        <v>1000000.0000000002</v>
      </c>
    </row>
    <row r="64" spans="2:8" ht="16" customHeight="1" x14ac:dyDescent="0.2">
      <c r="B64" s="35">
        <v>5</v>
      </c>
      <c r="C64" s="36">
        <f>IF(H63&gt;=($B$13*$B$14),,H63*$B$18)</f>
        <v>0</v>
      </c>
      <c r="D64" s="36"/>
      <c r="E64" s="26" t="str">
        <f>IF(H63&gt;=($B$13*$B$14),"-","Rentekosten")</f>
        <v>-</v>
      </c>
      <c r="F64" s="5"/>
      <c r="G64" s="26" t="str">
        <f>IF(H63&gt;=($B$13*$B$14),"-","W&amp;V")</f>
        <v>-</v>
      </c>
      <c r="H64" s="37"/>
    </row>
    <row r="65" spans="2:8" ht="16" customHeight="1" x14ac:dyDescent="0.2">
      <c r="B65" s="35">
        <v>5</v>
      </c>
      <c r="C65" s="36"/>
      <c r="D65" s="36">
        <f>IF(H63&gt;=($B$13*$B$14),,($B$13*$B$14)*$B$17)</f>
        <v>0</v>
      </c>
      <c r="E65" s="26" t="str">
        <f>IF(H63&gt;=($B$13*$B$14),"-","Bank")</f>
        <v>-</v>
      </c>
      <c r="F65" s="5"/>
      <c r="G65" s="26" t="str">
        <f>IF(H63&gt;=($B$13*$B$14),"-","B")</f>
        <v>-</v>
      </c>
      <c r="H65" s="37"/>
    </row>
    <row r="66" spans="2:8" ht="16" customHeight="1" x14ac:dyDescent="0.2">
      <c r="B66" s="35">
        <v>5</v>
      </c>
      <c r="C66" s="36"/>
      <c r="D66" s="36">
        <f>C64-D65</f>
        <v>0</v>
      </c>
      <c r="E66" s="26" t="str">
        <f>IF(H63&gt;=($B$13*$B$14),"-","Schuld")</f>
        <v>-</v>
      </c>
      <c r="F66" s="5"/>
      <c r="G66" s="26" t="str">
        <f>IF(H63&gt;=($B$13*$B$14),"-","B")</f>
        <v>-</v>
      </c>
      <c r="H66" s="37">
        <f>H63+D66</f>
        <v>1000000.0000000002</v>
      </c>
    </row>
    <row r="67" spans="2:8" ht="16" customHeight="1" x14ac:dyDescent="0.2">
      <c r="B67" s="38">
        <v>6</v>
      </c>
      <c r="C67" s="32">
        <f>IF(H66&gt;=($B$13*$B$14),,H66*$B$18)</f>
        <v>0</v>
      </c>
      <c r="D67" s="32"/>
      <c r="E67" s="33" t="str">
        <f>IF(H66&gt;=($B$13*$B$14),"-","Rentekosten")</f>
        <v>-</v>
      </c>
      <c r="F67" s="43"/>
      <c r="G67" s="33" t="str">
        <f>IF(H66&gt;=($B$13*$B$14),"-","W&amp;V")</f>
        <v>-</v>
      </c>
      <c r="H67" s="34"/>
    </row>
    <row r="68" spans="2:8" ht="16" customHeight="1" x14ac:dyDescent="0.2">
      <c r="B68" s="38">
        <v>6</v>
      </c>
      <c r="C68" s="32"/>
      <c r="D68" s="32">
        <f>IF(H66&gt;=($B$13*$B$14),,($B$13*$B$14)*$B$17)</f>
        <v>0</v>
      </c>
      <c r="E68" s="33" t="str">
        <f>IF(H66&gt;=($B$13*$B$14),"-","Bank")</f>
        <v>-</v>
      </c>
      <c r="F68" s="43"/>
      <c r="G68" s="33" t="str">
        <f>IF(H66&gt;=($B$13*$B$14),"-","B")</f>
        <v>-</v>
      </c>
      <c r="H68" s="34"/>
    </row>
    <row r="69" spans="2:8" ht="16" customHeight="1" x14ac:dyDescent="0.2">
      <c r="B69" s="38">
        <v>6</v>
      </c>
      <c r="C69" s="32"/>
      <c r="D69" s="32">
        <f>C67-D68</f>
        <v>0</v>
      </c>
      <c r="E69" s="33" t="str">
        <f>IF(H66&gt;=($B$13*$B$14),"-","Schuld")</f>
        <v>-</v>
      </c>
      <c r="F69" s="43"/>
      <c r="G69" s="33" t="str">
        <f>IF(H66&gt;=($B$13*$B$14),"-","B")</f>
        <v>-</v>
      </c>
      <c r="H69" s="34">
        <f>H66+D69</f>
        <v>1000000.0000000002</v>
      </c>
    </row>
    <row r="70" spans="2:8" ht="16" customHeight="1" x14ac:dyDescent="0.2">
      <c r="B70" s="35">
        <v>7</v>
      </c>
      <c r="C70" s="36">
        <f>IF(H69&gt;=($B$13*$B$14),,H69*$B$18)</f>
        <v>0</v>
      </c>
      <c r="D70" s="26"/>
      <c r="E70" s="26" t="str">
        <f>IF(H69&gt;=($B$13*$B$14),"-","Rentekosten")</f>
        <v>-</v>
      </c>
      <c r="F70" s="5"/>
      <c r="G70" s="26" t="str">
        <f>IF(H69&gt;=($B$13*$B$14),"-","W&amp;V")</f>
        <v>-</v>
      </c>
      <c r="H70" s="37"/>
    </row>
    <row r="71" spans="2:8" ht="16" customHeight="1" x14ac:dyDescent="0.2">
      <c r="B71" s="35">
        <v>7</v>
      </c>
      <c r="C71" s="26"/>
      <c r="D71" s="36">
        <f>IF(H69&gt;=($B$13*$B$14),,($B$13*$B$14)*$B$17)</f>
        <v>0</v>
      </c>
      <c r="E71" s="26" t="str">
        <f>IF(H69&gt;=($B$13*$B$14),"-","Bank")</f>
        <v>-</v>
      </c>
      <c r="F71" s="5"/>
      <c r="G71" s="26" t="str">
        <f>IF(H69&gt;=($B$13*$B$14),"-","B")</f>
        <v>-</v>
      </c>
      <c r="H71" s="37"/>
    </row>
    <row r="72" spans="2:8" ht="16" customHeight="1" x14ac:dyDescent="0.2">
      <c r="B72" s="35">
        <v>7</v>
      </c>
      <c r="C72" s="26"/>
      <c r="D72" s="36">
        <f>C70-D71</f>
        <v>0</v>
      </c>
      <c r="E72" s="26" t="str">
        <f>IF(H69&gt;=($B$13*$B$14),"-","Schuld")</f>
        <v>-</v>
      </c>
      <c r="F72" s="5"/>
      <c r="G72" s="26" t="str">
        <f>IF(H69&gt;=($B$13*$B$14),"-","B")</f>
        <v>-</v>
      </c>
      <c r="H72" s="37">
        <f>H69+D72</f>
        <v>1000000.0000000002</v>
      </c>
    </row>
    <row r="73" spans="2:8" ht="16" customHeight="1" x14ac:dyDescent="0.2">
      <c r="B73" s="38">
        <v>8</v>
      </c>
      <c r="C73" s="32">
        <f>IF(H72&gt;=($B$13*$B$14),,H72*$B$18)</f>
        <v>0</v>
      </c>
      <c r="D73" s="32"/>
      <c r="E73" s="33" t="str">
        <f>IF(H72&gt;=($B$13*$B$14),"-","Rentekosten")</f>
        <v>-</v>
      </c>
      <c r="F73" s="43"/>
      <c r="G73" s="33" t="str">
        <f>IF(H72&gt;=($B$13*$B$14),"-","W&amp;V")</f>
        <v>-</v>
      </c>
      <c r="H73" s="34"/>
    </row>
    <row r="74" spans="2:8" ht="16" customHeight="1" x14ac:dyDescent="0.2">
      <c r="B74" s="38">
        <v>8</v>
      </c>
      <c r="C74" s="32"/>
      <c r="D74" s="32">
        <f>IF(H72&gt;=($B$13*$B$14),,($B$13*$B$14)*$B$17)</f>
        <v>0</v>
      </c>
      <c r="E74" s="33" t="str">
        <f>IF(H72&gt;=($B$13*$B$14),"-","Bank")</f>
        <v>-</v>
      </c>
      <c r="F74" s="43"/>
      <c r="G74" s="33" t="str">
        <f>IF(H72&gt;=($B$13*$B$14),"-","B")</f>
        <v>-</v>
      </c>
      <c r="H74" s="34"/>
    </row>
    <row r="75" spans="2:8" ht="16" customHeight="1" x14ac:dyDescent="0.2">
      <c r="B75" s="38">
        <v>8</v>
      </c>
      <c r="C75" s="32"/>
      <c r="D75" s="32">
        <f>C73-D74</f>
        <v>0</v>
      </c>
      <c r="E75" s="33" t="str">
        <f>IF(H72&gt;=($B$13*$B$14),"-","Schuld")</f>
        <v>-</v>
      </c>
      <c r="F75" s="43"/>
      <c r="G75" s="33" t="str">
        <f>IF(H72&gt;=($B$13*$B$14),"-","B")</f>
        <v>-</v>
      </c>
      <c r="H75" s="34">
        <f>H72+D75</f>
        <v>1000000.0000000002</v>
      </c>
    </row>
    <row r="76" spans="2:8" ht="16" customHeight="1" x14ac:dyDescent="0.2">
      <c r="B76" s="35">
        <v>9</v>
      </c>
      <c r="C76" s="36">
        <f>IF(H75&gt;=($B$13*$B$14),,H75*$B$18)</f>
        <v>0</v>
      </c>
      <c r="D76" s="36"/>
      <c r="E76" s="26" t="str">
        <f>IF(H75&gt;=($B$13*$B$14),"-","Rentekosten")</f>
        <v>-</v>
      </c>
      <c r="F76" s="5"/>
      <c r="G76" s="26" t="str">
        <f>IF(H75&gt;=($B$13*$B$14),"-","W&amp;V")</f>
        <v>-</v>
      </c>
      <c r="H76" s="37"/>
    </row>
    <row r="77" spans="2:8" ht="16" customHeight="1" x14ac:dyDescent="0.2">
      <c r="B77" s="35">
        <v>9</v>
      </c>
      <c r="C77" s="36"/>
      <c r="D77" s="36">
        <f>IF(H75&gt;=($B$13*$B$14),,($B$13*$B$14)*$B$17)</f>
        <v>0</v>
      </c>
      <c r="E77" s="26" t="str">
        <f>IF(H75&gt;=($B$13*$B$14),"-","Bank")</f>
        <v>-</v>
      </c>
      <c r="F77" s="5"/>
      <c r="G77" s="26" t="str">
        <f>IF(H75&gt;=($B$13*$B$14),"-","B")</f>
        <v>-</v>
      </c>
      <c r="H77" s="37"/>
    </row>
    <row r="78" spans="2:8" ht="16" customHeight="1" x14ac:dyDescent="0.2">
      <c r="B78" s="35">
        <v>9</v>
      </c>
      <c r="C78" s="36"/>
      <c r="D78" s="36">
        <f>C76-D77</f>
        <v>0</v>
      </c>
      <c r="E78" s="26" t="str">
        <f>IF(H75&gt;=($B$13*$B$14),"-","Schuld")</f>
        <v>-</v>
      </c>
      <c r="F78" s="5"/>
      <c r="G78" s="26" t="str">
        <f>IF(H75&gt;=($B$13*$B$14),"-","B")</f>
        <v>-</v>
      </c>
      <c r="H78" s="37">
        <f>H75+D78</f>
        <v>1000000.0000000002</v>
      </c>
    </row>
    <row r="79" spans="2:8" ht="16" customHeight="1" x14ac:dyDescent="0.2">
      <c r="B79" s="38">
        <v>10</v>
      </c>
      <c r="C79" s="32">
        <f>IF(H78&gt;=($B$13*$B$14),,H78*$B$18)</f>
        <v>0</v>
      </c>
      <c r="D79" s="33"/>
      <c r="E79" s="33" t="str">
        <f>IF(H78&gt;=($B$13*$B$14),"-","Rentekosten")</f>
        <v>-</v>
      </c>
      <c r="F79" s="43"/>
      <c r="G79" s="33" t="str">
        <f>IF(H78&gt;=($B$13*$B$14),"-","W&amp;V")</f>
        <v>-</v>
      </c>
      <c r="H79" s="34"/>
    </row>
    <row r="80" spans="2:8" ht="16" customHeight="1" x14ac:dyDescent="0.2">
      <c r="B80" s="38">
        <v>10</v>
      </c>
      <c r="C80" s="33"/>
      <c r="D80" s="32">
        <f>IF(H78&gt;=($B$13*$B$14),,($B$13*$B$14)*$B$17)</f>
        <v>0</v>
      </c>
      <c r="E80" s="33" t="str">
        <f>IF(H78&gt;=($B$13*$B$14),"-","Bank")</f>
        <v>-</v>
      </c>
      <c r="F80" s="43"/>
      <c r="G80" s="33" t="str">
        <f>IF(H78&gt;=($B$13*$B$14),"-","B")</f>
        <v>-</v>
      </c>
      <c r="H80" s="34"/>
    </row>
    <row r="81" spans="2:8" ht="16" customHeight="1" x14ac:dyDescent="0.2">
      <c r="B81" s="38">
        <v>10</v>
      </c>
      <c r="C81" s="33"/>
      <c r="D81" s="32">
        <f>C79-D80</f>
        <v>0</v>
      </c>
      <c r="E81" s="33" t="str">
        <f>IF(H78&gt;=($B$13*$B$14),"-","Schuld")</f>
        <v>-</v>
      </c>
      <c r="F81" s="43"/>
      <c r="G81" s="33" t="str">
        <f>IF(H78&gt;=($B$13*$B$14),"-","B")</f>
        <v>-</v>
      </c>
      <c r="H81" s="34">
        <f>H78+D81</f>
        <v>1000000.0000000002</v>
      </c>
    </row>
    <row r="82" spans="2:8" ht="16" customHeight="1" x14ac:dyDescent="0.2">
      <c r="B82" s="35">
        <v>11</v>
      </c>
      <c r="C82" s="36">
        <f>IF(H81&gt;=($B$13*$B$14),,H81*$B$18)</f>
        <v>0</v>
      </c>
      <c r="D82" s="36"/>
      <c r="E82" s="26" t="str">
        <f>IF(H81&gt;=($B$13*$B$14),"-","Rentekosten")</f>
        <v>-</v>
      </c>
      <c r="F82" s="5"/>
      <c r="G82" s="26" t="str">
        <f>IF(H81&gt;=($B$13*$B$14),"-","W&amp;V")</f>
        <v>-</v>
      </c>
      <c r="H82" s="37"/>
    </row>
    <row r="83" spans="2:8" ht="16" customHeight="1" x14ac:dyDescent="0.2">
      <c r="B83" s="35">
        <v>11</v>
      </c>
      <c r="C83" s="36"/>
      <c r="D83" s="36">
        <f>IF(H81&gt;=($B$13*$B$14),,($B$13*$B$14)*$B$17)</f>
        <v>0</v>
      </c>
      <c r="E83" s="26" t="str">
        <f>IF(H81&gt;=($B$13*$B$14),"-","Bank")</f>
        <v>-</v>
      </c>
      <c r="F83" s="5"/>
      <c r="G83" s="26" t="str">
        <f>IF(H81&gt;=($B$13*$B$14),"-","B")</f>
        <v>-</v>
      </c>
      <c r="H83" s="37"/>
    </row>
    <row r="84" spans="2:8" ht="16" customHeight="1" x14ac:dyDescent="0.2">
      <c r="B84" s="35">
        <v>11</v>
      </c>
      <c r="C84" s="36"/>
      <c r="D84" s="36">
        <f>C82-D83</f>
        <v>0</v>
      </c>
      <c r="E84" s="26" t="str">
        <f>IF(H81&gt;=($B$13*$B$14),"-","Schuld")</f>
        <v>-</v>
      </c>
      <c r="F84" s="5"/>
      <c r="G84" s="26" t="str">
        <f>IF(H81&gt;=($B$13*$B$14),"-","B")</f>
        <v>-</v>
      </c>
      <c r="H84" s="37">
        <f>H81+D84</f>
        <v>1000000.0000000002</v>
      </c>
    </row>
    <row r="85" spans="2:8" ht="16" customHeight="1" x14ac:dyDescent="0.2">
      <c r="B85" s="38">
        <v>12</v>
      </c>
      <c r="C85" s="32">
        <f>IF(H84&gt;=($B$13*$B$14),,H84*$B$18)</f>
        <v>0</v>
      </c>
      <c r="D85" s="32"/>
      <c r="E85" s="33" t="str">
        <f>IF(H84&gt;=($B$13*$B$14),"-","Rentekosten")</f>
        <v>-</v>
      </c>
      <c r="F85" s="43"/>
      <c r="G85" s="33" t="str">
        <f>IF(H84&gt;=($B$13*$B$14),"-","W&amp;V")</f>
        <v>-</v>
      </c>
      <c r="H85" s="34"/>
    </row>
    <row r="86" spans="2:8" ht="16" customHeight="1" x14ac:dyDescent="0.2">
      <c r="B86" s="38">
        <v>12</v>
      </c>
      <c r="C86" s="32"/>
      <c r="D86" s="32">
        <f>IF(H84&gt;=($B$13*$B$14),,($B$13*$B$14)*$B$17)</f>
        <v>0</v>
      </c>
      <c r="E86" s="33" t="str">
        <f>IF(H84&gt;=($B$13*$B$14),"-","Bank")</f>
        <v>-</v>
      </c>
      <c r="F86" s="43"/>
      <c r="G86" s="33" t="str">
        <f>IF(H84&gt;=($B$13*$B$14),"-","B")</f>
        <v>-</v>
      </c>
      <c r="H86" s="34"/>
    </row>
    <row r="87" spans="2:8" ht="16" customHeight="1" x14ac:dyDescent="0.2">
      <c r="B87" s="38">
        <v>12</v>
      </c>
      <c r="C87" s="32"/>
      <c r="D87" s="32">
        <f>C85-D86</f>
        <v>0</v>
      </c>
      <c r="E87" s="33" t="str">
        <f>IF(H84&gt;=($B$13*$B$14),"-","Schuld")</f>
        <v>-</v>
      </c>
      <c r="F87" s="43"/>
      <c r="G87" s="33" t="str">
        <f>IF(H84&gt;=($B$13*$B$14),"-","B")</f>
        <v>-</v>
      </c>
      <c r="H87" s="34">
        <f>H84+D87</f>
        <v>1000000.0000000002</v>
      </c>
    </row>
    <row r="88" spans="2:8" ht="16" customHeight="1" x14ac:dyDescent="0.2">
      <c r="B88" s="35">
        <v>13</v>
      </c>
      <c r="C88" s="36">
        <f>IF(H87&gt;=($B$13*$B$14),,H87*$B$18)</f>
        <v>0</v>
      </c>
      <c r="D88" s="26"/>
      <c r="E88" s="26" t="str">
        <f>IF(H87&gt;=($B$13*$B$14),"-","Rentekosten")</f>
        <v>-</v>
      </c>
      <c r="F88" s="5"/>
      <c r="G88" s="26" t="str">
        <f>IF(H87&gt;=($B$13*$B$14),"-","W&amp;V")</f>
        <v>-</v>
      </c>
      <c r="H88" s="37"/>
    </row>
    <row r="89" spans="2:8" ht="16" customHeight="1" x14ac:dyDescent="0.2">
      <c r="B89" s="35">
        <v>13</v>
      </c>
      <c r="C89" s="26"/>
      <c r="D89" s="36">
        <f>IF(H87&gt;=($B$13*$B$14),,($B$13*$B$14)*$B$17)</f>
        <v>0</v>
      </c>
      <c r="E89" s="26" t="str">
        <f>IF(H87&gt;=($B$13*$B$14),"-","Bank")</f>
        <v>-</v>
      </c>
      <c r="F89" s="5"/>
      <c r="G89" s="26" t="str">
        <f>IF(H87&gt;=($B$13*$B$14),"-","B")</f>
        <v>-</v>
      </c>
      <c r="H89" s="37"/>
    </row>
    <row r="90" spans="2:8" ht="16" customHeight="1" x14ac:dyDescent="0.2">
      <c r="B90" s="35">
        <v>13</v>
      </c>
      <c r="C90" s="26"/>
      <c r="D90" s="36">
        <f>C88-D89</f>
        <v>0</v>
      </c>
      <c r="E90" s="26" t="str">
        <f>IF(H87&gt;=($B$13*$B$14),"-","Schuld")</f>
        <v>-</v>
      </c>
      <c r="F90" s="5"/>
      <c r="G90" s="26" t="str">
        <f>IF(H87&gt;=($B$13*$B$14),"-","B")</f>
        <v>-</v>
      </c>
      <c r="H90" s="37">
        <f>H87+D90</f>
        <v>1000000.0000000002</v>
      </c>
    </row>
    <row r="91" spans="2:8" ht="16" customHeight="1" x14ac:dyDescent="0.2">
      <c r="B91" s="38">
        <v>14</v>
      </c>
      <c r="C91" s="32">
        <f>IF(H90&gt;=($B$13*$B$14),,H90*$B$18)</f>
        <v>0</v>
      </c>
      <c r="D91" s="32"/>
      <c r="E91" s="33" t="str">
        <f>IF(H90&gt;=($B$13*$B$14),"-","Rentekosten")</f>
        <v>-</v>
      </c>
      <c r="F91" s="43"/>
      <c r="G91" s="33" t="str">
        <f>IF(H90&gt;=($B$13*$B$14),"-","W&amp;V")</f>
        <v>-</v>
      </c>
      <c r="H91" s="34"/>
    </row>
    <row r="92" spans="2:8" ht="16" customHeight="1" x14ac:dyDescent="0.2">
      <c r="B92" s="38">
        <v>14</v>
      </c>
      <c r="C92" s="32"/>
      <c r="D92" s="32">
        <f>IF(H90&gt;=($B$13*$B$14),,($B$13*$B$14)*$B$17)</f>
        <v>0</v>
      </c>
      <c r="E92" s="33" t="str">
        <f>IF(H90&gt;=($B$13*$B$14),"-","Bank")</f>
        <v>-</v>
      </c>
      <c r="F92" s="43"/>
      <c r="G92" s="33" t="str">
        <f>IF(H90&gt;=($B$13*$B$14),"-","B")</f>
        <v>-</v>
      </c>
      <c r="H92" s="34"/>
    </row>
    <row r="93" spans="2:8" ht="16" customHeight="1" x14ac:dyDescent="0.2">
      <c r="B93" s="38">
        <v>14</v>
      </c>
      <c r="C93" s="32"/>
      <c r="D93" s="32">
        <f>C91-D92</f>
        <v>0</v>
      </c>
      <c r="E93" s="33" t="str">
        <f>IF(H90&gt;=($B$13*$B$14),"-","Schuld")</f>
        <v>-</v>
      </c>
      <c r="F93" s="43"/>
      <c r="G93" s="33" t="str">
        <f>IF(H90&gt;=($B$13*$B$14),"-","B")</f>
        <v>-</v>
      </c>
      <c r="H93" s="34">
        <f>H90+D93</f>
        <v>1000000.0000000002</v>
      </c>
    </row>
    <row r="94" spans="2:8" ht="16" customHeight="1" x14ac:dyDescent="0.2">
      <c r="B94" s="35">
        <v>15</v>
      </c>
      <c r="C94" s="36">
        <f>IF(H93&gt;=($B$13*$B$14),,H93*$B$18)</f>
        <v>0</v>
      </c>
      <c r="D94" s="36"/>
      <c r="E94" s="26" t="str">
        <f>IF(H93&gt;=($B$13*$B$14),"-","Rentekosten")</f>
        <v>-</v>
      </c>
      <c r="F94" s="5"/>
      <c r="G94" s="26" t="str">
        <f>IF(H93&gt;=($B$13*$B$14),"-","W&amp;V")</f>
        <v>-</v>
      </c>
      <c r="H94" s="37"/>
    </row>
    <row r="95" spans="2:8" ht="16" customHeight="1" x14ac:dyDescent="0.2">
      <c r="B95" s="35">
        <v>15</v>
      </c>
      <c r="C95" s="36"/>
      <c r="D95" s="36">
        <f>IF(H93&gt;=($B$13*$B$14),,($B$13*$B$14)*$B$17)</f>
        <v>0</v>
      </c>
      <c r="E95" s="26" t="str">
        <f>IF(H93&gt;=($B$13*$B$14),"-","Bank")</f>
        <v>-</v>
      </c>
      <c r="F95" s="5"/>
      <c r="G95" s="26" t="str">
        <f>IF(H93&gt;=($B$13*$B$14),"-","B")</f>
        <v>-</v>
      </c>
      <c r="H95" s="37"/>
    </row>
    <row r="96" spans="2:8" ht="16" customHeight="1" x14ac:dyDescent="0.2">
      <c r="B96" s="35">
        <v>15</v>
      </c>
      <c r="C96" s="36"/>
      <c r="D96" s="36">
        <f>C94-D95</f>
        <v>0</v>
      </c>
      <c r="E96" s="26" t="str">
        <f>IF(H93&gt;=($B$13*$B$14),"-","Schuld")</f>
        <v>-</v>
      </c>
      <c r="F96" s="5"/>
      <c r="G96" s="26" t="str">
        <f>IF(H93&gt;=($B$13*$B$14),"-","B")</f>
        <v>-</v>
      </c>
      <c r="H96" s="37">
        <f>H93+D96</f>
        <v>1000000.0000000002</v>
      </c>
    </row>
    <row r="97" spans="2:8" ht="16" customHeight="1" x14ac:dyDescent="0.2">
      <c r="B97" s="38">
        <v>16</v>
      </c>
      <c r="C97" s="32">
        <f>IF(H96&gt;=($B$13*$B$14),,H96*$B$18)</f>
        <v>0</v>
      </c>
      <c r="D97" s="33"/>
      <c r="E97" s="33" t="str">
        <f>IF(H96&gt;=($B$13*$B$14),"-","Rentekosten")</f>
        <v>-</v>
      </c>
      <c r="F97" s="43"/>
      <c r="G97" s="33" t="str">
        <f>IF(H96&gt;=($B$13*$B$14),"-","W&amp;V")</f>
        <v>-</v>
      </c>
      <c r="H97" s="34"/>
    </row>
    <row r="98" spans="2:8" ht="16" customHeight="1" x14ac:dyDescent="0.2">
      <c r="B98" s="38">
        <v>16</v>
      </c>
      <c r="C98" s="33"/>
      <c r="D98" s="32">
        <f>IF(H96&gt;=($B$13*$B$14),,($B$13*$B$14)*$B$17)</f>
        <v>0</v>
      </c>
      <c r="E98" s="33" t="str">
        <f>IF(H96&gt;=($B$13*$B$14),"-","Bank")</f>
        <v>-</v>
      </c>
      <c r="F98" s="43"/>
      <c r="G98" s="33" t="str">
        <f>IF(H96&gt;=($B$13*$B$14),"-","B")</f>
        <v>-</v>
      </c>
      <c r="H98" s="34"/>
    </row>
    <row r="99" spans="2:8" ht="16" customHeight="1" x14ac:dyDescent="0.2">
      <c r="B99" s="38">
        <v>16</v>
      </c>
      <c r="C99" s="33"/>
      <c r="D99" s="32">
        <f>C97-D98</f>
        <v>0</v>
      </c>
      <c r="E99" s="33" t="str">
        <f>IF(H96&gt;=($B$13*$B$14),"-","Schuld")</f>
        <v>-</v>
      </c>
      <c r="F99" s="43"/>
      <c r="G99" s="33" t="str">
        <f>IF(H96&gt;=($B$13*$B$14),"-","B")</f>
        <v>-</v>
      </c>
      <c r="H99" s="34">
        <f>H96+D99</f>
        <v>1000000.0000000002</v>
      </c>
    </row>
    <row r="100" spans="2:8" ht="16" customHeight="1" x14ac:dyDescent="0.2">
      <c r="B100" s="35">
        <v>17</v>
      </c>
      <c r="C100" s="36">
        <f>IF(H99&gt;=($B$13*$B$14),,H99*$B$18)</f>
        <v>0</v>
      </c>
      <c r="D100" s="36"/>
      <c r="E100" s="26" t="str">
        <f>IF(H99&gt;=($B$13*$B$14),"-","Rentekosten")</f>
        <v>-</v>
      </c>
      <c r="F100" s="5"/>
      <c r="G100" s="26" t="str">
        <f>IF(H99&gt;=($B$13*$B$14),"-","W&amp;V")</f>
        <v>-</v>
      </c>
      <c r="H100" s="37"/>
    </row>
    <row r="101" spans="2:8" ht="16" customHeight="1" x14ac:dyDescent="0.2">
      <c r="B101" s="35">
        <v>17</v>
      </c>
      <c r="C101" s="36"/>
      <c r="D101" s="36">
        <f>IF(H99&gt;=($B$13*$B$14),,($B$13*$B$14)*$B$17)</f>
        <v>0</v>
      </c>
      <c r="E101" s="26" t="str">
        <f>IF(H99&gt;=($B$13*$B$14),"-","Bank")</f>
        <v>-</v>
      </c>
      <c r="F101" s="5"/>
      <c r="G101" s="26" t="str">
        <f>IF(H99&gt;=($B$13*$B$14),"-","B")</f>
        <v>-</v>
      </c>
      <c r="H101" s="37"/>
    </row>
    <row r="102" spans="2:8" ht="16" customHeight="1" x14ac:dyDescent="0.2">
      <c r="B102" s="35">
        <v>17</v>
      </c>
      <c r="C102" s="36"/>
      <c r="D102" s="36">
        <f>C100-D101</f>
        <v>0</v>
      </c>
      <c r="E102" s="26" t="str">
        <f>IF(H99&gt;=($B$13*$B$14),"-","Schuld")</f>
        <v>-</v>
      </c>
      <c r="F102" s="5"/>
      <c r="G102" s="26" t="str">
        <f>IF(H99&gt;=($B$13*$B$14),"-","B")</f>
        <v>-</v>
      </c>
      <c r="H102" s="37">
        <f>H99+D102</f>
        <v>1000000.0000000002</v>
      </c>
    </row>
    <row r="103" spans="2:8" ht="16" customHeight="1" x14ac:dyDescent="0.2">
      <c r="B103" s="38">
        <v>18</v>
      </c>
      <c r="C103" s="32">
        <f>IF(H102&gt;=($B$13*$B$14),,H102*$B$18)</f>
        <v>0</v>
      </c>
      <c r="D103" s="32"/>
      <c r="E103" s="33" t="str">
        <f>IF(H102&gt;=($B$13*$B$14),"-","Rentekosten")</f>
        <v>-</v>
      </c>
      <c r="F103" s="43"/>
      <c r="G103" s="33" t="str">
        <f>IF(H102&gt;=($B$13*$B$14),"-","W&amp;V")</f>
        <v>-</v>
      </c>
      <c r="H103" s="34"/>
    </row>
    <row r="104" spans="2:8" ht="16" customHeight="1" x14ac:dyDescent="0.2">
      <c r="B104" s="38">
        <v>18</v>
      </c>
      <c r="C104" s="32"/>
      <c r="D104" s="32">
        <f>IF(H102&gt;=($B$13*$B$14),,($B$13*$B$14)*$B$17)</f>
        <v>0</v>
      </c>
      <c r="E104" s="33" t="str">
        <f>IF(H102&gt;=($B$13*$B$14),"-","Bank")</f>
        <v>-</v>
      </c>
      <c r="F104" s="43"/>
      <c r="G104" s="33" t="str">
        <f>IF(H102&gt;=($B$13*$B$14),"-","B")</f>
        <v>-</v>
      </c>
      <c r="H104" s="34"/>
    </row>
    <row r="105" spans="2:8" ht="16" customHeight="1" x14ac:dyDescent="0.2">
      <c r="B105" s="38">
        <v>18</v>
      </c>
      <c r="C105" s="32"/>
      <c r="D105" s="32">
        <f>C103-D104</f>
        <v>0</v>
      </c>
      <c r="E105" s="33" t="str">
        <f>IF(H102&gt;=($B$13*$B$14),"-","Schuld")</f>
        <v>-</v>
      </c>
      <c r="F105" s="43"/>
      <c r="G105" s="33" t="str">
        <f>IF(H102&gt;=($B$13*$B$14),"-","B")</f>
        <v>-</v>
      </c>
      <c r="H105" s="34">
        <f>H102+D105</f>
        <v>1000000.0000000002</v>
      </c>
    </row>
    <row r="106" spans="2:8" ht="16" customHeight="1" x14ac:dyDescent="0.2">
      <c r="B106" s="35">
        <v>19</v>
      </c>
      <c r="C106" s="36">
        <f>IF(H105&gt;=($B$13*$B$14),,H105*$B$18)</f>
        <v>0</v>
      </c>
      <c r="D106" s="26"/>
      <c r="E106" s="26" t="str">
        <f>IF(H105&gt;=($B$13*$B$14),"-","Rentekosten")</f>
        <v>-</v>
      </c>
      <c r="F106" s="5"/>
      <c r="G106" s="26" t="str">
        <f>IF(H105&gt;=($B$13*$B$14),"-","W&amp;V")</f>
        <v>-</v>
      </c>
      <c r="H106" s="37"/>
    </row>
    <row r="107" spans="2:8" ht="16" customHeight="1" x14ac:dyDescent="0.2">
      <c r="B107" s="35">
        <v>19</v>
      </c>
      <c r="C107" s="26"/>
      <c r="D107" s="36">
        <f>IF(H105&gt;=($B$13*$B$14),,($B$13*$B$14)*$B$17)</f>
        <v>0</v>
      </c>
      <c r="E107" s="26" t="str">
        <f>IF(H105&gt;=($B$13*$B$14),"-","Bank")</f>
        <v>-</v>
      </c>
      <c r="F107" s="5"/>
      <c r="G107" s="26" t="str">
        <f>IF(H105&gt;=($B$13*$B$14),"-","B")</f>
        <v>-</v>
      </c>
      <c r="H107" s="37"/>
    </row>
    <row r="108" spans="2:8" ht="16" customHeight="1" x14ac:dyDescent="0.2">
      <c r="B108" s="35">
        <v>19</v>
      </c>
      <c r="C108" s="26"/>
      <c r="D108" s="36">
        <f>C106-D107</f>
        <v>0</v>
      </c>
      <c r="E108" s="26" t="str">
        <f>IF(H105&gt;=($B$13*$B$14),"-","Schuld")</f>
        <v>-</v>
      </c>
      <c r="F108" s="5"/>
      <c r="G108" s="26" t="str">
        <f>IF(H105&gt;=($B$13*$B$14),"-","B")</f>
        <v>-</v>
      </c>
      <c r="H108" s="37">
        <f>H105+D108</f>
        <v>1000000.0000000002</v>
      </c>
    </row>
    <row r="109" spans="2:8" ht="16" customHeight="1" x14ac:dyDescent="0.2">
      <c r="B109" s="38">
        <v>20</v>
      </c>
      <c r="C109" s="32">
        <f>IF(H108&gt;=($B$13*$B$14),,H108*$B$18)</f>
        <v>0</v>
      </c>
      <c r="D109" s="33"/>
      <c r="E109" s="33" t="str">
        <f>IF(H108&gt;=($B$13*$B$14),"-","Rentekosten")</f>
        <v>-</v>
      </c>
      <c r="F109" s="43"/>
      <c r="G109" s="33" t="str">
        <f>IF(H108&gt;=($B$13*$B$14),"-","W&amp;V")</f>
        <v>-</v>
      </c>
      <c r="H109" s="34"/>
    </row>
    <row r="110" spans="2:8" ht="16" customHeight="1" x14ac:dyDescent="0.2">
      <c r="B110" s="38">
        <v>20</v>
      </c>
      <c r="C110" s="33"/>
      <c r="D110" s="32">
        <f>IF(H108&gt;=($B$13*$B$14),,($B$13*$B$14)*$B$17)</f>
        <v>0</v>
      </c>
      <c r="E110" s="33" t="str">
        <f>IF(H108&gt;=($B$13*$B$14),"-","Bank")</f>
        <v>-</v>
      </c>
      <c r="F110" s="43"/>
      <c r="G110" s="33" t="str">
        <f>IF(H108&gt;=($B$13*$B$14),"-","B")</f>
        <v>-</v>
      </c>
      <c r="H110" s="34"/>
    </row>
    <row r="111" spans="2:8" ht="16" customHeight="1" x14ac:dyDescent="0.2">
      <c r="B111" s="39">
        <v>20</v>
      </c>
      <c r="C111" s="40"/>
      <c r="D111" s="41">
        <f>C109-D110</f>
        <v>0</v>
      </c>
      <c r="E111" s="40" t="str">
        <f>IF(H108&gt;=($B$13*$B$14),"-","Schuld")</f>
        <v>-</v>
      </c>
      <c r="F111" s="44"/>
      <c r="G111" s="40" t="str">
        <f>IF(H108&gt;=($B$13*$B$14),"-","B")</f>
        <v>-</v>
      </c>
      <c r="H111" s="42">
        <f>H108+D111</f>
        <v>1000000.0000000002</v>
      </c>
    </row>
    <row r="112" spans="2:8" x14ac:dyDescent="0.2">
      <c r="B112" s="22"/>
    </row>
    <row r="113" spans="2:2" x14ac:dyDescent="0.2">
      <c r="B113" s="50" t="s">
        <v>25</v>
      </c>
    </row>
    <row r="114" spans="2:2" x14ac:dyDescent="0.2">
      <c r="B114" s="22"/>
    </row>
    <row r="115" spans="2:2" x14ac:dyDescent="0.2">
      <c r="B115" s="22"/>
    </row>
    <row r="116" spans="2:2" x14ac:dyDescent="0.2">
      <c r="B116" s="22"/>
    </row>
    <row r="117" spans="2:2" x14ac:dyDescent="0.2">
      <c r="B117" s="22"/>
    </row>
  </sheetData>
  <mergeCells count="3">
    <mergeCell ref="B47:H47"/>
    <mergeCell ref="B11:F11"/>
    <mergeCell ref="B21:F21"/>
  </mergeCells>
  <phoneticPr fontId="4" type="noConversion"/>
  <hyperlinks>
    <hyperlink ref="B113" r:id="rId1" xr:uid="{AA7875D5-02F4-5945-AA96-5CA1C629AE2F}"/>
  </hyperlinks>
  <pageMargins left="0.7" right="0.7" top="0.75" bottom="0.75" header="0.3" footer="0.3"/>
  <pageSetup paperSize="9" orientation="portrait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Berekensite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2020-10-22T14:38:06Z</dcterms:created>
  <dcterms:modified xsi:type="dcterms:W3CDTF">2023-03-23T16:24:43Z</dcterms:modified>
</cp:coreProperties>
</file>