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"/>
    </mc:Choice>
  </mc:AlternateContent>
  <xr:revisionPtr revIDLastSave="0" documentId="13_ncr:1_{B86D42B3-15CB-A749-A657-F6A883697E2C}" xr6:coauthVersionLast="47" xr6:coauthVersionMax="47" xr10:uidLastSave="{00000000-0000-0000-0000-000000000000}"/>
  <bookViews>
    <workbookView xWindow="1520" yWindow="2060" windowWidth="23040" windowHeight="15940" xr2:uid="{77624F28-7224-5045-BC01-328D847D11E5}"/>
  </bookViews>
  <sheets>
    <sheet name="Cnoo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1" l="1"/>
  <c r="U15" i="1"/>
  <c r="U13" i="1"/>
  <c r="AH12" i="1"/>
  <c r="AH13" i="1" s="1"/>
  <c r="AN12" i="1"/>
  <c r="AN13" i="1" s="1"/>
  <c r="AM12" i="1"/>
  <c r="AM14" i="1" s="1"/>
  <c r="AL12" i="1"/>
  <c r="AL13" i="1" s="1"/>
  <c r="AK12" i="1"/>
  <c r="AK14" i="1" s="1"/>
  <c r="AJ12" i="1"/>
  <c r="AJ13" i="1" s="1"/>
  <c r="AI12" i="1"/>
  <c r="AI13" i="1" s="1"/>
  <c r="AG12" i="1"/>
  <c r="AG13" i="1" s="1"/>
  <c r="AF12" i="1"/>
  <c r="AF13" i="1" s="1"/>
  <c r="AE12" i="1"/>
  <c r="AE13" i="1" s="1"/>
  <c r="AD12" i="1"/>
  <c r="AD14" i="1" s="1"/>
  <c r="AC12" i="1"/>
  <c r="AC14" i="1" s="1"/>
  <c r="AB12" i="1"/>
  <c r="AB14" i="1" s="1"/>
  <c r="AA12" i="1"/>
  <c r="AA13" i="1" s="1"/>
  <c r="Z12" i="1"/>
  <c r="Z14" i="1" s="1"/>
  <c r="Y12" i="1"/>
  <c r="Y14" i="1" s="1"/>
  <c r="X12" i="1"/>
  <c r="X14" i="1" s="1"/>
  <c r="W12" i="1"/>
  <c r="W14" i="1" s="1"/>
  <c r="V12" i="1"/>
  <c r="V13" i="1" s="1"/>
  <c r="U12" i="1"/>
  <c r="AJ14" i="1" l="1"/>
  <c r="AN14" i="1"/>
  <c r="AN15" i="1" s="1"/>
  <c r="AL14" i="1"/>
  <c r="AL15" i="1" s="1"/>
  <c r="AI14" i="1"/>
  <c r="AD13" i="1"/>
  <c r="AD15" i="1" s="1"/>
  <c r="Z13" i="1"/>
  <c r="Z15" i="1" s="1"/>
  <c r="W13" i="1"/>
  <c r="W15" i="1" s="1"/>
  <c r="AA14" i="1"/>
  <c r="AA15" i="1" s="1"/>
  <c r="AJ15" i="1"/>
  <c r="AC13" i="1"/>
  <c r="AC15" i="1" s="1"/>
  <c r="Y13" i="1"/>
  <c r="Y15" i="1" s="1"/>
  <c r="U14" i="1"/>
  <c r="B25" i="1" s="1"/>
  <c r="V14" i="1"/>
  <c r="V15" i="1" s="1"/>
  <c r="AB13" i="1"/>
  <c r="AB15" i="1" s="1"/>
  <c r="X13" i="1"/>
  <c r="X15" i="1" s="1"/>
  <c r="AI15" i="1"/>
  <c r="AM13" i="1"/>
  <c r="AM15" i="1" s="1"/>
  <c r="AK13" i="1"/>
  <c r="AK15" i="1" s="1"/>
  <c r="AH14" i="1"/>
  <c r="AH15" i="1" s="1"/>
  <c r="AG14" i="1"/>
  <c r="AG15" i="1" s="1"/>
  <c r="AF14" i="1"/>
  <c r="AF15" i="1" s="1"/>
  <c r="AE14" i="1"/>
  <c r="AE15" i="1" s="1"/>
  <c r="B24" i="1" l="1"/>
  <c r="B26" i="1" s="1"/>
  <c r="B30" i="1" s="1"/>
  <c r="C38" i="1" s="1"/>
  <c r="C37" i="1" l="1"/>
  <c r="C39" i="1" s="1"/>
  <c r="B31" i="1" l="1"/>
  <c r="B36" i="1" s="1"/>
  <c r="B39" i="1" s="1"/>
</calcChain>
</file>

<file path=xl/sharedStrings.xml><?xml version="1.0" encoding="utf-8"?>
<sst xmlns="http://schemas.openxmlformats.org/spreadsheetml/2006/main" count="24" uniqueCount="24">
  <si>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</si>
  <si>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</si>
  <si>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</si>
  <si>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</si>
  <si>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Converteerbare obligatie</t>
  </si>
  <si>
    <t>Aantal converteerbare oblgaties</t>
  </si>
  <si>
    <t>Nominale waarde</t>
  </si>
  <si>
    <t>Transactiekosten</t>
  </si>
  <si>
    <t>Rente indien enkel vreemd vermogen</t>
  </si>
  <si>
    <t>Rente converteerbare obligatie</t>
  </si>
  <si>
    <t>Journaalpost converteerbare obligatie</t>
  </si>
  <si>
    <t>Liquide middelen</t>
  </si>
  <si>
    <t>Waarde EV-component voor transactiekosten</t>
  </si>
  <si>
    <t>Waarde VV-component voor transactiekosten</t>
  </si>
  <si>
    <t xml:space="preserve">Waarde EV-component </t>
  </si>
  <si>
    <t xml:space="preserve">Waarde VV-component </t>
  </si>
  <si>
    <t>Looptijd in jaren (max 20)</t>
  </si>
  <si>
    <t>@ Overige reserves / agioreserve</t>
  </si>
  <si>
    <t>@ Obligatielening</t>
  </si>
  <si>
    <t>De obligatielening (vv-component) dient vervolgens over de looptijd met de nader te berekenen effectieve rente op te renten tot de nominale waarde.</t>
  </si>
  <si>
    <t>U kunt ons daarop attenderen via contact@cnoop.nl. Aan de in dit document genoemde informatie kunt u geen rechten ontlenen.</t>
  </si>
  <si>
    <t>Verdeling EV/VV excl. Transactiekosten</t>
  </si>
  <si>
    <t>Verdeling EV/VV incl. Transactiekosten</t>
  </si>
  <si>
    <t>Waardering converteerbare obligatie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</si>
</sst>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€&quot;\ #,##0_);[Red]\(&quot;€&quot;\ #,##0\)"/>
    <numFmt numFmtId="8" formatCode="&quot;€&quot;\ #,##0.00_);[Red]\(&quot;€&quot;\ #,##0.00\)"/>
    <numFmt numFmtId="43" formatCode="_(* #,##0.00_);_(* \(#,##0.00\);_(* &quot;-&quot;??_);_(@_)"/>
    <numFmt numFmtId="164" formatCode="_(* #,##0_);_(* \(#,##0\);_(* &quot;-&quot;??_);_(@_)"/>
    <numFmt numFmtId="165" formatCode="_(&quot;€&quot;\ * #,##0_);_(&quot;€&quot;\ * \(#,##0\);_(&quot;€&quot;\ 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sz val="14"/>
      <color rgb="FF3F485D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43" fontId="0" fillId="2" borderId="0" xfId="0" applyNumberFormat="1" applyFill="1"/>
    <xf numFmtId="164" fontId="0" fillId="2" borderId="4" xfId="1" applyNumberFormat="1" applyFont="1" applyFill="1" applyBorder="1"/>
    <xf numFmtId="9" fontId="0" fillId="3" borderId="4" xfId="2" applyFont="1" applyFill="1" applyBorder="1"/>
    <xf numFmtId="8" fontId="2" fillId="2" borderId="4" xfId="1" applyNumberFormat="1" applyFont="1" applyFill="1" applyBorder="1"/>
    <xf numFmtId="0" fontId="2" fillId="2" borderId="0" xfId="0" applyFont="1" applyFill="1"/>
    <xf numFmtId="8" fontId="0" fillId="0" borderId="0" xfId="0" applyNumberFormat="1"/>
    <xf numFmtId="164" fontId="0" fillId="3" borderId="4" xfId="1" applyNumberFormat="1" applyFont="1" applyFill="1" applyBorder="1"/>
    <xf numFmtId="165" fontId="0" fillId="3" borderId="4" xfId="1" applyNumberFormat="1" applyFont="1" applyFill="1" applyBorder="1"/>
    <xf numFmtId="165" fontId="0" fillId="3" borderId="4" xfId="2" applyNumberFormat="1" applyFont="1" applyFill="1" applyBorder="1"/>
    <xf numFmtId="164" fontId="0" fillId="2" borderId="6" xfId="1" applyNumberFormat="1" applyFont="1" applyFill="1" applyBorder="1"/>
    <xf numFmtId="164" fontId="0" fillId="0" borderId="0" xfId="1" applyNumberFormat="1" applyFont="1" applyFill="1" applyBorder="1"/>
    <xf numFmtId="0" fontId="2" fillId="0" borderId="0" xfId="0" applyFont="1"/>
    <xf numFmtId="8" fontId="2" fillId="0" borderId="0" xfId="1" applyNumberFormat="1" applyFont="1" applyFill="1" applyBorder="1"/>
    <xf numFmtId="8" fontId="2" fillId="2" borderId="6" xfId="1" applyNumberFormat="1" applyFont="1" applyFill="1" applyBorder="1"/>
    <xf numFmtId="0" fontId="2" fillId="2" borderId="7" xfId="0" applyFont="1" applyFill="1" applyBorder="1"/>
    <xf numFmtId="43" fontId="0" fillId="2" borderId="6" xfId="0" applyNumberFormat="1" applyFill="1" applyBorder="1"/>
    <xf numFmtId="0" fontId="5" fillId="0" borderId="0" xfId="0" applyFont="1"/>
    <xf numFmtId="0" fontId="6" fillId="0" borderId="0" xfId="0" applyFont="1"/>
    <xf numFmtId="43" fontId="5" fillId="0" borderId="0" xfId="1" applyFont="1"/>
    <xf numFmtId="0" fontId="7" fillId="0" borderId="0" xfId="0" applyFont="1"/>
    <xf numFmtId="6" fontId="1" fillId="2" borderId="4" xfId="1" applyNumberFormat="1" applyFont="1" applyFill="1" applyBorder="1"/>
    <xf numFmtId="6" fontId="1" fillId="2" borderId="10" xfId="1" applyNumberFormat="1" applyFont="1" applyFill="1" applyBorder="1"/>
    <xf numFmtId="6" fontId="2" fillId="2" borderId="4" xfId="1" applyNumberFormat="1" applyFont="1" applyFill="1" applyBorder="1"/>
    <xf numFmtId="0" fontId="0" fillId="2" borderId="0" xfId="0" quotePrefix="1" applyFill="1"/>
    <xf numFmtId="164" fontId="1" fillId="2" borderId="4" xfId="1" applyNumberFormat="1" applyFont="1" applyFill="1" applyBorder="1"/>
    <xf numFmtId="164" fontId="1" fillId="2" borderId="0" xfId="1" applyNumberFormat="1" applyFont="1" applyFill="1" applyBorder="1"/>
    <xf numFmtId="164" fontId="2" fillId="2" borderId="10" xfId="0" applyNumberFormat="1" applyFont="1" applyFill="1" applyBorder="1"/>
    <xf numFmtId="164" fontId="2" fillId="2" borderId="9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3" fontId="1" fillId="2" borderId="4" xfId="1" applyNumberFormat="1" applyFont="1" applyFill="1" applyBorder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657412</xdr:colOff>
      <xdr:row>1</xdr:row>
      <xdr:rowOff>164353</xdr:rowOff>
    </xdr:from>
    <xdr:to>
      <xdr:col>4</xdr:col>
      <xdr:colOff>397435</xdr:colOff>
      <xdr:row>5</xdr:row>
      <xdr:rowOff>5977</xdr:rowOff>
    </xdr:to>
    <xdr:pic>
      <xdr:nvPicPr>
        <xdr:cNvPr id="3" name="Afbeelding 2" descr="CNOOP Corporate Finance ®">
          <a:extLst>
            <a:ext uri="{FF2B5EF4-FFF2-40B4-BE49-F238E27FC236}">
              <a16:creationId xmlns:a16="http://schemas.microsoft.com/office/drawing/2014/main" id="{204C6889-DC2C-A304-A458-76788503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294" y="373529"/>
          <a:ext cx="1682376" cy="67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AN43"/>
  <sheetViews>
    <sheetView tabSelected="1" zoomScale="85" workbookViewId="0">
      <selection activeCell="J11" sqref="J11"/>
    </sheetView>
  </sheetViews>
  <sheetFormatPr baseColWidth="10" defaultRowHeight="16" x14ac:dyDescent="0.2"/>
  <cols>
    <col min="1" max="1" width="11" customWidth="1"/>
    <col min="2" max="6" width="12.6640625" customWidth="1"/>
    <col min="7" max="9" width="11" customWidth="1"/>
    <col min="10" max="10" width="11.5" bestFit="1" customWidth="1"/>
    <col min="11" max="11" width="11" customWidth="1"/>
    <col min="12" max="12" width="11.5" bestFit="1" customWidth="1"/>
    <col min="21" max="22" width="11.1640625" style="33" customWidth="1"/>
    <col min="23" max="23" width="11.6640625" style="33" customWidth="1"/>
    <col min="24" max="26" width="11.1640625" style="33" customWidth="1"/>
    <col min="27" max="39" width="11" style="33" customWidth="1"/>
    <col min="40" max="40" width="11.5" style="33" customWidth="1"/>
  </cols>
  <sheetData>
    <row r="2" spans="2:40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40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5"/>
      <c r="P3" s="5"/>
      <c r="Q3" s="5"/>
      <c r="R3" s="5"/>
      <c r="S3" s="6"/>
    </row>
    <row r="4" spans="2:40" x14ac:dyDescent="0.2">
      <c r="B4" s="4"/>
      <c r="C4" s="5"/>
      <c r="E4" s="5"/>
      <c r="F4" s="6"/>
      <c r="H4" s="4"/>
      <c r="I4" s="5" t="s">
        <v>0</v>
      </c>
      <c r="J4" s="5"/>
      <c r="K4" s="5"/>
      <c r="L4" s="5"/>
      <c r="M4" s="5"/>
      <c r="N4" s="5"/>
      <c r="O4" s="5"/>
      <c r="P4" s="5"/>
      <c r="Q4" s="5"/>
      <c r="R4" s="5"/>
      <c r="S4" s="6"/>
    </row>
    <row r="5" spans="2:40" x14ac:dyDescent="0.2">
      <c r="B5" s="4"/>
      <c r="C5" s="5"/>
      <c r="D5" s="5"/>
      <c r="E5" s="5"/>
      <c r="F5" s="6"/>
      <c r="H5" s="4"/>
      <c r="I5" s="5" t="s">
        <v>20</v>
      </c>
      <c r="J5" s="5"/>
      <c r="K5" s="5"/>
      <c r="L5" s="5"/>
      <c r="M5" s="5"/>
      <c r="N5" s="5"/>
      <c r="O5" s="5"/>
      <c r="P5" s="5"/>
      <c r="Q5" s="5"/>
      <c r="R5" s="5"/>
      <c r="S5" s="6"/>
    </row>
    <row r="6" spans="2:40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8" spans="2:40" x14ac:dyDescent="0.2">
      <c r="B8" s="11" t="s">
        <v>3</v>
      </c>
      <c r="C8" s="12"/>
      <c r="D8" s="12"/>
      <c r="E8" s="12"/>
      <c r="F8" s="13"/>
    </row>
    <row r="9" spans="2:40" x14ac:dyDescent="0.2">
      <c r="B9" s="14" t="s">
        <v>2</v>
      </c>
      <c r="C9" s="15"/>
      <c r="D9" s="15"/>
      <c r="E9" s="15"/>
      <c r="F9" s="16"/>
    </row>
    <row r="11" spans="2:40" s="10" customFormat="1" ht="26" x14ac:dyDescent="0.3">
      <c r="B11" s="45" t="s">
        <v>4</v>
      </c>
      <c r="C11" s="46"/>
      <c r="D11" s="46"/>
      <c r="E11" s="46"/>
      <c r="F11" s="47"/>
      <c r="U11" s="34">
        <v>1</v>
      </c>
      <c r="V11" s="34">
        <v>2</v>
      </c>
      <c r="W11" s="34">
        <v>3</v>
      </c>
      <c r="X11" s="34">
        <v>4</v>
      </c>
      <c r="Y11" s="34">
        <v>5</v>
      </c>
      <c r="Z11" s="34">
        <v>6</v>
      </c>
      <c r="AA11" s="34">
        <v>7</v>
      </c>
      <c r="AB11" s="34">
        <v>8</v>
      </c>
      <c r="AC11" s="34">
        <v>9</v>
      </c>
      <c r="AD11" s="34">
        <v>10</v>
      </c>
      <c r="AE11" s="34">
        <v>11</v>
      </c>
      <c r="AF11" s="34">
        <v>12</v>
      </c>
      <c r="AG11" s="34">
        <v>13</v>
      </c>
      <c r="AH11" s="34">
        <v>14</v>
      </c>
      <c r="AI11" s="34">
        <v>15</v>
      </c>
      <c r="AJ11" s="34">
        <v>16</v>
      </c>
      <c r="AK11" s="34">
        <v>17</v>
      </c>
      <c r="AL11" s="34">
        <v>18</v>
      </c>
      <c r="AM11" s="34">
        <v>19</v>
      </c>
      <c r="AN11" s="34">
        <v>20</v>
      </c>
    </row>
    <row r="12" spans="2:40" ht="20" x14ac:dyDescent="0.25">
      <c r="B12" s="4"/>
      <c r="C12" s="5"/>
      <c r="D12" s="5"/>
      <c r="E12" s="5"/>
      <c r="F12" s="6"/>
      <c r="H12" s="36"/>
      <c r="U12" s="33">
        <f>IF(B16&gt;=1,1,0)</f>
        <v>1</v>
      </c>
      <c r="V12" s="33">
        <f>IF(B16&gt;=2,2,0)</f>
        <v>2</v>
      </c>
      <c r="W12" s="33">
        <f>IF(B16&gt;=3,3,0)</f>
        <v>3</v>
      </c>
      <c r="X12" s="33">
        <f>IF(B16&gt;=4,4,0)</f>
        <v>4</v>
      </c>
      <c r="Y12" s="33">
        <f>IF(B16&gt;=5,5,0)</f>
        <v>5</v>
      </c>
      <c r="Z12" s="33">
        <f>IF(B16&gt;=6,6,0)</f>
        <v>6</v>
      </c>
      <c r="AA12" s="33">
        <f>IF(B16&gt;=7,7,0)</f>
        <v>7</v>
      </c>
      <c r="AB12" s="33">
        <f>IF(B16&gt;=8,8,0)</f>
        <v>8</v>
      </c>
      <c r="AC12" s="33">
        <f>IF(B16&gt;=9,9,0)</f>
        <v>9</v>
      </c>
      <c r="AD12" s="33">
        <f>IF(B16&gt;=10,10,0)</f>
        <v>10</v>
      </c>
      <c r="AE12" s="33">
        <f>IF(B16&gt;=11,11,0)</f>
        <v>0</v>
      </c>
      <c r="AF12" s="33">
        <f>IF(B16&gt;=12,12,0)</f>
        <v>0</v>
      </c>
      <c r="AG12" s="33">
        <f>IF(B16&gt;=13,13,0)</f>
        <v>0</v>
      </c>
      <c r="AH12" s="33">
        <f>IF(B16&gt;=14,14,0)</f>
        <v>0</v>
      </c>
      <c r="AI12" s="33">
        <f>IF(B16&gt;=15,15,0)</f>
        <v>0</v>
      </c>
      <c r="AJ12" s="33">
        <f>IF(B16&gt;=16,16,0)</f>
        <v>0</v>
      </c>
      <c r="AK12" s="33">
        <f>IF(B16&gt;=17,17,0)</f>
        <v>0</v>
      </c>
      <c r="AL12" s="33">
        <f>IF(B16&gt;=18,18,0)</f>
        <v>0</v>
      </c>
      <c r="AM12" s="33">
        <f>IF(B16&gt;=19,19,0)</f>
        <v>0</v>
      </c>
      <c r="AN12" s="33">
        <f>IF(B16&gt;=20,20,0)</f>
        <v>0</v>
      </c>
    </row>
    <row r="13" spans="2:40" x14ac:dyDescent="0.2">
      <c r="B13" s="23">
        <v>25000</v>
      </c>
      <c r="C13" s="5" t="s">
        <v>5</v>
      </c>
      <c r="D13" s="5"/>
      <c r="E13" s="17"/>
      <c r="F13" s="6"/>
      <c r="U13" s="33">
        <f>IF(U12&gt;0,(($B$13*$B$14)*$B$17),0)</f>
        <v>100000</v>
      </c>
      <c r="V13" s="33">
        <f t="shared" ref="V13:AD13" si="0">IF(V12&gt;0,(($B$13*$B$14)*$B$17),0)</f>
        <v>100000</v>
      </c>
      <c r="W13" s="33">
        <f t="shared" si="0"/>
        <v>100000</v>
      </c>
      <c r="X13" s="33">
        <f t="shared" si="0"/>
        <v>100000</v>
      </c>
      <c r="Y13" s="33">
        <f t="shared" si="0"/>
        <v>100000</v>
      </c>
      <c r="Z13" s="33">
        <f t="shared" si="0"/>
        <v>100000</v>
      </c>
      <c r="AA13" s="33">
        <f t="shared" si="0"/>
        <v>100000</v>
      </c>
      <c r="AB13" s="33">
        <f t="shared" si="0"/>
        <v>100000</v>
      </c>
      <c r="AC13" s="33">
        <f t="shared" si="0"/>
        <v>100000</v>
      </c>
      <c r="AD13" s="33">
        <f t="shared" si="0"/>
        <v>100000</v>
      </c>
      <c r="AE13" s="33">
        <f t="shared" ref="AE13" si="1">IF(AE12&gt;0,(($B$13*$B$14)*$B$17),0)</f>
        <v>0</v>
      </c>
      <c r="AF13" s="33">
        <f t="shared" ref="AF13" si="2">IF(AF12&gt;0,(($B$13*$B$14)*$B$17),0)</f>
        <v>0</v>
      </c>
      <c r="AG13" s="33">
        <f t="shared" ref="AG13" si="3">IF(AG12&gt;0,(($B$13*$B$14)*$B$17),0)</f>
        <v>0</v>
      </c>
      <c r="AH13" s="33">
        <f t="shared" ref="AH13" si="4">IF(AH12&gt;0,(($B$13*$B$14)*$B$17),0)</f>
        <v>0</v>
      </c>
      <c r="AI13" s="33">
        <f t="shared" ref="AI13" si="5">IF(AI12&gt;0,(($B$13*$B$14)*$B$17),0)</f>
        <v>0</v>
      </c>
      <c r="AJ13" s="33">
        <f t="shared" ref="AJ13" si="6">IF(AJ12&gt;0,(($B$13*$B$14)*$B$17),0)</f>
        <v>0</v>
      </c>
      <c r="AK13" s="33">
        <f t="shared" ref="AK13" si="7">IF(AK12&gt;0,(($B$13*$B$14)*$B$17),0)</f>
        <v>0</v>
      </c>
      <c r="AL13" s="33">
        <f t="shared" ref="AL13" si="8">IF(AL12&gt;0,(($B$13*$B$14)*$B$17),0)</f>
        <v>0</v>
      </c>
      <c r="AM13" s="33">
        <f t="shared" ref="AM13" si="9">IF(AM12&gt;0,(($B$13*$B$14)*$B$17),0)</f>
        <v>0</v>
      </c>
      <c r="AN13" s="33">
        <f t="shared" ref="AN13" si="10">IF(AN12&gt;0,(($B$13*$B$14)*$B$17),0)</f>
        <v>0</v>
      </c>
    </row>
    <row r="14" spans="2:40" x14ac:dyDescent="0.2">
      <c r="B14" s="24">
        <v>100</v>
      </c>
      <c r="C14" s="5" t="s">
        <v>6</v>
      </c>
      <c r="D14" s="5"/>
      <c r="E14" s="5"/>
      <c r="F14" s="6"/>
      <c r="U14" s="33">
        <f>IF(U12=$B$16,$B$13*$B$14,0)</f>
        <v>0</v>
      </c>
      <c r="V14" s="33">
        <f t="shared" ref="V14:AD14" si="11">IF(V12=$B$16,$B$13*$B$14,0)</f>
        <v>0</v>
      </c>
      <c r="W14" s="33">
        <f t="shared" si="11"/>
        <v>0</v>
      </c>
      <c r="X14" s="33">
        <f t="shared" si="11"/>
        <v>0</v>
      </c>
      <c r="Y14" s="33">
        <f t="shared" si="11"/>
        <v>0</v>
      </c>
      <c r="Z14" s="33">
        <f t="shared" si="11"/>
        <v>0</v>
      </c>
      <c r="AA14" s="33">
        <f t="shared" si="11"/>
        <v>0</v>
      </c>
      <c r="AB14" s="33">
        <f t="shared" si="11"/>
        <v>0</v>
      </c>
      <c r="AC14" s="33">
        <f t="shared" si="11"/>
        <v>0</v>
      </c>
      <c r="AD14" s="33">
        <f t="shared" si="11"/>
        <v>2500000</v>
      </c>
      <c r="AE14" s="33">
        <f t="shared" ref="AE14:AM14" si="12">IF(AE12=$B$16,$B$13*$B$14,0)</f>
        <v>0</v>
      </c>
      <c r="AF14" s="33">
        <f t="shared" si="12"/>
        <v>0</v>
      </c>
      <c r="AG14" s="33">
        <f t="shared" si="12"/>
        <v>0</v>
      </c>
      <c r="AH14" s="33">
        <f t="shared" si="12"/>
        <v>0</v>
      </c>
      <c r="AI14" s="33">
        <f t="shared" si="12"/>
        <v>0</v>
      </c>
      <c r="AJ14" s="33">
        <f t="shared" si="12"/>
        <v>0</v>
      </c>
      <c r="AK14" s="33">
        <f t="shared" si="12"/>
        <v>0</v>
      </c>
      <c r="AL14" s="33">
        <f t="shared" si="12"/>
        <v>0</v>
      </c>
      <c r="AM14" s="33">
        <f t="shared" si="12"/>
        <v>0</v>
      </c>
      <c r="AN14" s="33">
        <f>IF(AN12=$B$16,$B$13*$B$14,0)</f>
        <v>0</v>
      </c>
    </row>
    <row r="15" spans="2:40" x14ac:dyDescent="0.2">
      <c r="B15" s="25">
        <v>10000</v>
      </c>
      <c r="C15" s="5" t="s">
        <v>7</v>
      </c>
      <c r="D15" s="5"/>
      <c r="E15" s="5"/>
      <c r="F15" s="6"/>
      <c r="U15" s="35">
        <f>(U13+U14)/((1+$B$18)^U12)</f>
        <v>93457.943925233645</v>
      </c>
      <c r="V15" s="35">
        <f t="shared" ref="V15:AD15" si="13">(V13+V14)/((1+$B$18)^V12)</f>
        <v>87343.87282732116</v>
      </c>
      <c r="W15" s="35">
        <f t="shared" si="13"/>
        <v>81629.787689085191</v>
      </c>
      <c r="X15" s="35">
        <f t="shared" si="13"/>
        <v>76289.521204752527</v>
      </c>
      <c r="Y15" s="35">
        <f t="shared" si="13"/>
        <v>71298.617948366838</v>
      </c>
      <c r="Z15" s="35">
        <f t="shared" si="13"/>
        <v>66634.222381651256</v>
      </c>
      <c r="AA15" s="35">
        <f t="shared" si="13"/>
        <v>62274.974188459113</v>
      </c>
      <c r="AB15" s="35">
        <f t="shared" si="13"/>
        <v>58200.910456503843</v>
      </c>
      <c r="AC15" s="35">
        <f t="shared" si="13"/>
        <v>54393.374258414799</v>
      </c>
      <c r="AD15" s="35">
        <f t="shared" si="13"/>
        <v>1321708.1595502663</v>
      </c>
      <c r="AE15" s="35">
        <f t="shared" ref="AE15" si="14">(AE13+AE14)/((1+$B$18)^AE12)</f>
        <v>0</v>
      </c>
      <c r="AF15" s="35">
        <f t="shared" ref="AF15" si="15">(AF13+AF14)/((1+$B$18)^AF12)</f>
        <v>0</v>
      </c>
      <c r="AG15" s="35">
        <f t="shared" ref="AG15" si="16">(AG13+AG14)/((1+$B$18)^AG12)</f>
        <v>0</v>
      </c>
      <c r="AH15" s="35">
        <f t="shared" ref="AH15" si="17">(AH13+AH14)/((1+$B$18)^AH12)</f>
        <v>0</v>
      </c>
      <c r="AI15" s="35">
        <f t="shared" ref="AI15" si="18">(AI13+AI14)/((1+$B$18)^AI12)</f>
        <v>0</v>
      </c>
      <c r="AJ15" s="35">
        <f t="shared" ref="AJ15" si="19">(AJ13+AJ14)/((1+$B$18)^AJ12)</f>
        <v>0</v>
      </c>
      <c r="AK15" s="35">
        <f t="shared" ref="AK15" si="20">(AK13+AK14)/((1+$B$18)^AK12)</f>
        <v>0</v>
      </c>
      <c r="AL15" s="35">
        <f t="shared" ref="AL15" si="21">(AL13+AL14)/((1+$B$18)^AL12)</f>
        <v>0</v>
      </c>
      <c r="AM15" s="35">
        <f t="shared" ref="AM15" si="22">(AM13+AM14)/((1+$B$18)^AM12)</f>
        <v>0</v>
      </c>
      <c r="AN15" s="35">
        <f t="shared" ref="AN15" si="23">(AN13+AN14)/((1+$B$18)^AN12)</f>
        <v>0</v>
      </c>
    </row>
    <row r="16" spans="2:40" x14ac:dyDescent="0.2">
      <c r="B16" s="23">
        <v>10</v>
      </c>
      <c r="C16" s="5" t="s">
        <v>16</v>
      </c>
      <c r="D16" s="5"/>
      <c r="E16" s="5"/>
      <c r="F16" s="6"/>
    </row>
    <row r="17" spans="2:6" x14ac:dyDescent="0.2">
      <c r="B17" s="19">
        <v>0.04</v>
      </c>
      <c r="C17" s="5" t="s">
        <v>9</v>
      </c>
      <c r="D17" s="5"/>
      <c r="E17" s="5"/>
      <c r="F17" s="6"/>
    </row>
    <row r="18" spans="2:6" x14ac:dyDescent="0.2">
      <c r="B18" s="19">
        <v>7.0000000000000007E-2</v>
      </c>
      <c r="C18" s="5" t="s">
        <v>8</v>
      </c>
      <c r="D18" s="5"/>
      <c r="E18" s="5"/>
      <c r="F18" s="6"/>
    </row>
    <row r="19" spans="2:6" x14ac:dyDescent="0.2">
      <c r="B19" s="26"/>
      <c r="C19" s="8"/>
      <c r="D19" s="8"/>
      <c r="E19" s="8"/>
      <c r="F19" s="9"/>
    </row>
    <row r="20" spans="2:6" x14ac:dyDescent="0.2">
      <c r="B20" s="27"/>
    </row>
    <row r="21" spans="2:6" ht="26" x14ac:dyDescent="0.3">
      <c r="B21" s="45" t="s">
        <v>23</v>
      </c>
      <c r="C21" s="46"/>
      <c r="D21" s="46"/>
      <c r="E21" s="46"/>
      <c r="F21" s="47"/>
    </row>
    <row r="22" spans="2:6" x14ac:dyDescent="0.2">
      <c r="B22" s="18"/>
      <c r="C22" s="5"/>
      <c r="D22" s="5"/>
      <c r="E22" s="5"/>
      <c r="F22" s="6"/>
    </row>
    <row r="23" spans="2:6" x14ac:dyDescent="0.2">
      <c r="B23" s="18" t="s">
        <v>21</v>
      </c>
      <c r="C23" s="5"/>
      <c r="D23" s="5"/>
      <c r="E23" s="5"/>
      <c r="F23" s="6"/>
    </row>
    <row r="24" spans="2:6" x14ac:dyDescent="0.2">
      <c r="B24" s="37">
        <f>(B13*B14)-B25</f>
        <v>526768.61556994542</v>
      </c>
      <c r="C24" s="5" t="s">
        <v>12</v>
      </c>
      <c r="D24" s="21"/>
      <c r="E24" s="5"/>
      <c r="F24" s="6"/>
    </row>
    <row r="25" spans="2:6" x14ac:dyDescent="0.2">
      <c r="B25" s="48">
        <f>SUM(U15:AN15)</f>
        <v>1973231.3844300546</v>
      </c>
      <c r="C25" s="5" t="s">
        <v>13</v>
      </c>
      <c r="D25" s="21"/>
      <c r="E25" s="5"/>
      <c r="F25" s="6"/>
    </row>
    <row r="26" spans="2:6" x14ac:dyDescent="0.2">
      <c r="B26" s="38">
        <f>SUM(B24:B25)</f>
        <v>2500000</v>
      </c>
      <c r="C26" s="5"/>
      <c r="D26" s="21"/>
      <c r="E26" s="5"/>
      <c r="F26" s="6"/>
    </row>
    <row r="27" spans="2:6" x14ac:dyDescent="0.2">
      <c r="B27" s="39"/>
      <c r="C27" s="5"/>
      <c r="D27" s="21"/>
      <c r="E27" s="5"/>
      <c r="F27" s="6"/>
    </row>
    <row r="28" spans="2:6" x14ac:dyDescent="0.2">
      <c r="B28" s="18" t="s">
        <v>22</v>
      </c>
      <c r="C28" s="5"/>
      <c r="D28" s="21"/>
      <c r="E28" s="5"/>
      <c r="F28" s="6"/>
    </row>
    <row r="29" spans="2:6" x14ac:dyDescent="0.2">
      <c r="B29" s="37">
        <f>((B24/B$26)*-$B$15)+B24</f>
        <v>524661.54110766563</v>
      </c>
      <c r="C29" s="5" t="s">
        <v>14</v>
      </c>
      <c r="D29" s="21"/>
      <c r="E29" s="5"/>
      <c r="F29" s="6"/>
    </row>
    <row r="30" spans="2:6" x14ac:dyDescent="0.2">
      <c r="B30" s="37">
        <f>((B25/B$26)*-$B$15)+B25</f>
        <v>1965338.4588923343</v>
      </c>
      <c r="C30" s="5" t="s">
        <v>15</v>
      </c>
      <c r="D30" s="21"/>
      <c r="E30" s="5"/>
      <c r="F30" s="6"/>
    </row>
    <row r="31" spans="2:6" x14ac:dyDescent="0.2">
      <c r="B31" s="38">
        <f>SUM(B29:B30)</f>
        <v>2490000</v>
      </c>
      <c r="C31" s="5"/>
      <c r="D31" s="21"/>
      <c r="E31" s="5"/>
      <c r="F31" s="6"/>
    </row>
    <row r="32" spans="2:6" x14ac:dyDescent="0.2">
      <c r="B32" s="30"/>
      <c r="C32" s="31"/>
      <c r="D32" s="31"/>
      <c r="E32" s="8"/>
      <c r="F32" s="9"/>
    </row>
    <row r="33" spans="2:6" x14ac:dyDescent="0.2">
      <c r="B33" s="29"/>
      <c r="C33" s="28"/>
      <c r="D33" s="28"/>
    </row>
    <row r="34" spans="2:6" ht="26" x14ac:dyDescent="0.3">
      <c r="B34" s="45" t="s">
        <v>10</v>
      </c>
      <c r="C34" s="46"/>
      <c r="D34" s="46"/>
      <c r="E34" s="46"/>
      <c r="F34" s="47"/>
    </row>
    <row r="35" spans="2:6" x14ac:dyDescent="0.2">
      <c r="B35" s="20"/>
      <c r="C35" s="21"/>
      <c r="D35" s="21"/>
      <c r="E35" s="5"/>
      <c r="F35" s="6"/>
    </row>
    <row r="36" spans="2:6" x14ac:dyDescent="0.2">
      <c r="B36" s="41">
        <f>B31</f>
        <v>2490000</v>
      </c>
      <c r="C36" s="5"/>
      <c r="D36" s="5" t="s">
        <v>11</v>
      </c>
      <c r="E36" s="5"/>
      <c r="F36" s="6"/>
    </row>
    <row r="37" spans="2:6" x14ac:dyDescent="0.2">
      <c r="B37" s="4"/>
      <c r="C37" s="42">
        <f>B29</f>
        <v>524661.54110766563</v>
      </c>
      <c r="D37" s="40" t="s">
        <v>17</v>
      </c>
      <c r="E37" s="5"/>
      <c r="F37" s="6"/>
    </row>
    <row r="38" spans="2:6" x14ac:dyDescent="0.2">
      <c r="B38" s="4"/>
      <c r="C38" s="42">
        <f>B30</f>
        <v>1965338.4588923343</v>
      </c>
      <c r="D38" s="40" t="s">
        <v>18</v>
      </c>
      <c r="E38" s="5"/>
      <c r="F38" s="6"/>
    </row>
    <row r="39" spans="2:6" x14ac:dyDescent="0.2">
      <c r="B39" s="43">
        <f>SUM(B36:B38)</f>
        <v>2490000</v>
      </c>
      <c r="C39" s="44">
        <f>SUM(C36:C38)</f>
        <v>2490000</v>
      </c>
      <c r="D39" s="40"/>
      <c r="E39" s="5"/>
      <c r="F39" s="6"/>
    </row>
    <row r="40" spans="2:6" x14ac:dyDescent="0.2">
      <c r="B40" s="32"/>
      <c r="C40" s="8"/>
      <c r="D40" s="8"/>
      <c r="E40" s="8"/>
      <c r="F40" s="9"/>
    </row>
    <row r="42" spans="2:6" x14ac:dyDescent="0.2">
      <c r="B42" t="s">
        <v>19</v>
      </c>
    </row>
    <row r="43" spans="2:6" x14ac:dyDescent="0.2">
      <c r="B43" s="22"/>
      <c r="C43" s="22"/>
      <c r="D43" s="22"/>
    </row>
  </sheetData>
  <mergeCells count="3">
    <mergeCell ref="B11:F11"/>
    <mergeCell ref="B21:F21"/>
    <mergeCell ref="B34:F34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Cnoop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2023-03-10T08:42:19Z</dcterms:modified>
</cp:coreProperties>
</file>